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C:\PRESUN_SUS_PCE\VŘD 24\Silnice\Březovice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101" sheetId="3" r:id="rId3"/>
  </sheets>
  <definedNames>
    <definedName name="_xlnm.Print_Area" localSheetId="0">Souhrn!$A$1:$G$25</definedName>
    <definedName name="_xlnm.Print_Titles" localSheetId="0">Souhrn!$17:$19</definedName>
    <definedName name="_xlnm.Print_Area" localSheetId="1">'0 - SO000'!$A$1:$M$58</definedName>
    <definedName name="_xlnm.Print_Titles" localSheetId="1">'0 - SO000'!$22:$24</definedName>
    <definedName name="_xlnm.Print_Area" localSheetId="2">'1 - SO101'!$A$1:$M$134</definedName>
    <definedName name="_xlnm.Print_Titles" localSheetId="2">'1 - SO101'!$26:$28</definedName>
  </definedNames>
  <calcPr/>
</workbook>
</file>

<file path=xl/calcChain.xml><?xml version="1.0" encoding="utf-8"?>
<calcChain xmlns="http://schemas.openxmlformats.org/spreadsheetml/2006/main">
  <c i="3" l="1" r="R114"/>
  <c r="Q114"/>
  <c r="I114"/>
  <c r="J114"/>
  <c r="L114"/>
  <c r="R111"/>
  <c r="Q111"/>
  <c r="I111"/>
  <c r="J111"/>
  <c r="L111"/>
  <c r="R108"/>
  <c r="I108"/>
  <c r="J108"/>
  <c r="L108"/>
  <c r="R105"/>
  <c r="I105"/>
  <c r="R102"/>
  <c r="I102"/>
  <c r="J102"/>
  <c r="L102"/>
  <c r="R99"/>
  <c r="R117"/>
  <c r="I99"/>
  <c r="R93"/>
  <c r="R96"/>
  <c r="I93"/>
  <c r="R87"/>
  <c r="I87"/>
  <c r="J87"/>
  <c r="L87"/>
  <c r="R84"/>
  <c r="I84"/>
  <c r="R81"/>
  <c r="I81"/>
  <c r="R78"/>
  <c r="I78"/>
  <c r="J78"/>
  <c r="L78"/>
  <c r="R75"/>
  <c r="I75"/>
  <c r="R72"/>
  <c r="I72"/>
  <c r="J72"/>
  <c r="L72"/>
  <c r="R69"/>
  <c r="I69"/>
  <c r="R66"/>
  <c r="J66"/>
  <c r="L66"/>
  <c r="I66"/>
  <c r="Q66"/>
  <c r="R63"/>
  <c r="R90"/>
  <c r="I63"/>
  <c r="R57"/>
  <c r="I57"/>
  <c r="J57"/>
  <c r="L57"/>
  <c r="R54"/>
  <c r="I54"/>
  <c r="R51"/>
  <c r="I51"/>
  <c r="R48"/>
  <c r="I48"/>
  <c r="R45"/>
  <c r="I45"/>
  <c r="J45"/>
  <c r="L45"/>
  <c r="R42"/>
  <c r="I42"/>
  <c r="J42"/>
  <c r="L42"/>
  <c r="R39"/>
  <c r="I39"/>
  <c r="J39"/>
  <c r="Q39"/>
  <c r="R36"/>
  <c r="R60"/>
  <c r="I36"/>
  <c r="R30"/>
  <c r="R33"/>
  <c r="I30"/>
  <c r="A13"/>
  <c i="2" r="R38"/>
  <c r="I38"/>
  <c r="J38"/>
  <c r="L38"/>
  <c r="R35"/>
  <c r="I35"/>
  <c r="J35"/>
  <c r="L35"/>
  <c r="R32"/>
  <c r="I32"/>
  <c r="J32"/>
  <c r="L32"/>
  <c r="R29"/>
  <c r="I29"/>
  <c r="J29"/>
  <c r="L29"/>
  <c r="R26"/>
  <c r="R41"/>
  <c r="I26"/>
  <c r="J26"/>
  <c r="H42"/>
  <c r="J10"/>
  <c i="1" r="D20"/>
  <c i="2" r="A13"/>
  <c l="1" r="Q26"/>
  <c r="Q29"/>
  <c r="Q32"/>
  <c r="Q38"/>
  <c r="K20"/>
  <c i="3" r="L39"/>
  <c r="J54"/>
  <c r="L54"/>
  <c i="2" r="Q35"/>
  <c i="3" r="J30"/>
  <c r="H33"/>
  <c r="Q42"/>
  <c r="Q45"/>
  <c r="Q57"/>
  <c r="Q72"/>
  <c r="J75"/>
  <c r="L75"/>
  <c r="Q78"/>
  <c r="J81"/>
  <c r="L81"/>
  <c r="Q87"/>
  <c r="Q102"/>
  <c r="J105"/>
  <c r="L105"/>
  <c r="Q108"/>
  <c i="2" r="L26"/>
  <c r="L41"/>
  <c r="J41"/>
  <c r="J42"/>
  <c r="H41"/>
  <c i="3" r="J36"/>
  <c r="Q36"/>
  <c r="J48"/>
  <c r="L48"/>
  <c r="J51"/>
  <c r="L51"/>
  <c r="J63"/>
  <c r="H90"/>
  <c r="J69"/>
  <c r="L69"/>
  <c r="J84"/>
  <c r="L84"/>
  <c r="J93"/>
  <c r="H97"/>
  <c r="K23"/>
  <c r="J99"/>
  <c r="H118"/>
  <c r="K24"/>
  <c l="1" r="H61"/>
  <c r="K21"/>
  <c i="2" r="Q41"/>
  <c r="S41"/>
  <c r="S20"/>
  <c r="Q11"/>
  <c r="S11"/>
  <c i="1" r="S20"/>
  <c i="3" r="Q69"/>
  <c r="Q63"/>
  <c r="Q51"/>
  <c r="Q84"/>
  <c r="Q30"/>
  <c r="Q33"/>
  <c r="Q54"/>
  <c r="Q75"/>
  <c r="Q48"/>
  <c r="Q60"/>
  <c r="Q81"/>
  <c r="Q105"/>
  <c r="Q99"/>
  <c r="Q117"/>
  <c r="Q93"/>
  <c r="Q96"/>
  <c r="L30"/>
  <c r="L34"/>
  <c r="L20"/>
  <c r="L36"/>
  <c r="L61"/>
  <c r="L21"/>
  <c i="2" r="R11"/>
  <c r="L42"/>
  <c r="L20"/>
  <c i="3" r="H34"/>
  <c r="H91"/>
  <c r="K22"/>
  <c r="L99"/>
  <c r="L118"/>
  <c r="L24"/>
  <c r="H60"/>
  <c r="L63"/>
  <c r="L91"/>
  <c r="L22"/>
  <c r="L93"/>
  <c r="L97"/>
  <c r="L23"/>
  <c r="H96"/>
  <c r="H117"/>
  <c l="1" r="J10"/>
  <c r="Q90"/>
  <c i="2" r="J11"/>
  <c i="1" r="F20"/>
  <c i="3" r="L33"/>
  <c r="J33"/>
  <c r="J34"/>
  <c r="K20"/>
  <c r="J11"/>
  <c i="1" r="F21"/>
  <c i="3" r="L60"/>
  <c r="J60"/>
  <c r="J61"/>
  <c r="L90"/>
  <c r="J90"/>
  <c r="J91"/>
  <c r="L96"/>
  <c r="J96"/>
  <c r="J97"/>
  <c r="L117"/>
  <c r="J117"/>
  <c r="J118"/>
  <c i="1" l="1" r="F13"/>
  <c i="3" r="S90"/>
  <c r="S22"/>
  <c r="S117"/>
  <c r="S24"/>
  <c r="S60"/>
  <c r="S21"/>
  <c r="S33"/>
  <c r="S20"/>
  <c r="S96"/>
  <c r="S23"/>
  <c i="1" r="D21"/>
  <c r="F11"/>
  <c i="3" r="R11"/>
  <c l="1" r="Q11"/>
  <c r="S11"/>
  <c i="1" r="S21"/>
</calcChain>
</file>

<file path=xl/sharedStrings.xml><?xml version="1.0" encoding="utf-8"?>
<sst xmlns="http://schemas.openxmlformats.org/spreadsheetml/2006/main">
  <si>
    <t>SOUHRNNÝ LIST STAVBY</t>
  </si>
  <si>
    <t>STAVBA</t>
  </si>
  <si>
    <t>054-2024 - Silnice III/3556 Březovice</t>
  </si>
  <si>
    <t/>
  </si>
  <si>
    <t>ZÁKLADNÍ ÚDAJE</t>
  </si>
  <si>
    <t xml:space="preserve">Objednatel: </t>
  </si>
  <si>
    <t xml:space="preserve">Cena (bez DPH): </t>
  </si>
  <si>
    <t>Správa a údržba silnic Pardubického kraje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</si>
  <si>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</si>
  <si>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</si>
  <si>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</si>
  <si>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</si>
  <si>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</si>
  <si>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</si>
  <si>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</si>
  <si>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</si>
  <si>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</si>
  <si>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</si>
  <si>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</si>
  <si>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</si>
  <si>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Vedlejší a ostatní náklady</t>
  </si>
  <si>
    <t>SO101</t>
  </si>
  <si>
    <t>Silnice III/3556</t>
  </si>
  <si>
    <t>ROZPOČET</t>
  </si>
  <si>
    <t xml:space="preserve">Objekt: </t>
  </si>
  <si>
    <t xml:space="preserve">Celková cena (bez DPH): </t>
  </si>
  <si>
    <t>SO000 - Vedlejší a ostatní náklady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</si>
  <si>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</si>
  <si>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</si>
  <si>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</si>
  <si>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</si>
  <si>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</si>
  <si>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</si>
  <si>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</si>
  <si>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</si>
  <si>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</si>
  <si>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</si>
  <si>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</si>
  <si>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</si>
  <si>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</si>
  <si>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</si>
  <si>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02720</t>
  </si>
  <si>
    <t>POMOC PRÁCE ZŘÍZ NEBO ZAJIŠŤ REGULACI A OCHRANU DOPRAVY</t>
  </si>
  <si>
    <t>KPL</t>
  </si>
  <si>
    <t>doplňující popis</t>
  </si>
  <si>
    <t>Celková uzavírka</t>
  </si>
  <si>
    <t>výměra</t>
  </si>
  <si>
    <t>1 = 1,000000 =&gt; A</t>
  </si>
  <si>
    <t>02730</t>
  </si>
  <si>
    <t>POMOC PRÁCE ZŘÍZ NEBO ZAJIŠŤ OCHRANU INŽENÝRSKÝCH SÍTÍ</t>
  </si>
  <si>
    <t>PRÁCE V BLÍZKOSTI IS, OCHRANA IS POD SJEZDY</t>
  </si>
  <si>
    <t>02946</t>
  </si>
  <si>
    <t>OSTAT POŽADAVKY - FOTODOKUMENTACE</t>
  </si>
  <si>
    <t>02950</t>
  </si>
  <si>
    <t>OSTATNÍ POŽADAVKY - POSUDKY, KONTROLY, REVIZNÍ ZPRÁVY</t>
  </si>
  <si>
    <t>03100</t>
  </si>
  <si>
    <t>ZAŘÍZENÍ STAVENIŠTĚ - ZŘÍZENÍ, PROVOZ, DEMONTÁŽ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</si>
  <si>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</si>
  <si>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</si>
  <si>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</si>
  <si>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</si>
  <si>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</si>
  <si>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</si>
  <si>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SO101 - Silnice III/3556</t>
  </si>
  <si>
    <t>zemní práce</t>
  </si>
  <si>
    <t>komunikace</t>
  </si>
  <si>
    <t>potrubí</t>
  </si>
  <si>
    <t>ostatní práce</t>
  </si>
  <si>
    <t>014102</t>
  </si>
  <si>
    <t>POPLATKY ZA SKLÁDKU</t>
  </si>
  <si>
    <t>T</t>
  </si>
  <si>
    <t>zemina, kamení</t>
  </si>
  <si>
    <t>z pol. č. 11332: 15,662m3*1,9t/m3 = 29,757800 =&gt; A _x000d_
z pol. č. 12373: 24,096m3*1,9t/m3 = 45,782400 =&gt; B _x000d_
z pol. č. 12922: 428,5m*0,1m*2,0t/m3 = 85,700000 =&gt; C _x000d_
z pol. č. 12932: 900m*0,2m3/m*1,9t/m3 = 342,000000 =&gt; D _x000d_
z položky 11333: 8,434 m3*1,2t/m3 = 10,120800 =&gt; E _x000d_
z položky 11372: 120,48 m3*1,2t/m3 = 144,576000 =&gt; F _x000d_
A+B+C+D+E+F = 657,937000 =&gt; G</t>
  </si>
  <si>
    <t>1 - zemní práce</t>
  </si>
  <si>
    <t>11332</t>
  </si>
  <si>
    <t>ODSTRANĚNÍ PODKLADŮ ZPEVNĚNÝCH PLOCH Z KAMENIVA NESTMELENÉHO</t>
  </si>
  <si>
    <t>M3</t>
  </si>
  <si>
    <t>lokální sanace (šd)</t>
  </si>
  <si>
    <t xml:space="preserve">odhad 10%  z plochy 2409,6m2 * 0,10 *prům. tl. 0,13 m  = 31,324800 =&gt; A</t>
  </si>
  <si>
    <t>11333</t>
  </si>
  <si>
    <t>ODSTRANĚNÍ PODKLADU ZPEVNĚNÝCH PLOCH S ASFALT POJIVEM</t>
  </si>
  <si>
    <t>lokální sanace PM</t>
  </si>
  <si>
    <t xml:space="preserve">odhad 10%  z plochy 2409,6m2 * 0,10 *prům. tl. 0,07 m  = 16,867200 =&gt; A</t>
  </si>
  <si>
    <t>11372</t>
  </si>
  <si>
    <t>FRÉZOVÁNÍ ZPEVNĚNÝCH PLOCH ASFALTOVÝCH</t>
  </si>
  <si>
    <t>průměrná tl. 50 mm 
včetně odvozu na místo určené investorem, cestmistrovství SÚS PK</t>
  </si>
  <si>
    <t xml:space="preserve">Plocha: 2409,6 m2 * tl. 0,07 m  = 168,672000 =&gt; A</t>
  </si>
  <si>
    <t>113766</t>
  </si>
  <si>
    <t>FRÉZOVÁNÍ DRÁŽKY PRŮŘEZU DO 800MM2 V ASFALTOVÉ VOZOVCE</t>
  </si>
  <si>
    <t>M</t>
  </si>
  <si>
    <t>V místě napojení na stávající asf. vrstvy</t>
  </si>
  <si>
    <t xml:space="preserve">ZÚ: dl. 21,62  = 21,620000 =&gt; A _x000d_
KÚ: dl. 4,50  = 4,500000 =&gt; B _x000d_
km 0,257: dl. 14,38  = 14,380000 =&gt; C _x000d_
Celkem: A+B+C = 40,500000 =&gt; D</t>
  </si>
  <si>
    <t>12373</t>
  </si>
  <si>
    <t>ODKOP PRO SPOD STAVBU SILNIC A ŽELEZNIC TŘ. I</t>
  </si>
  <si>
    <t>lokální sanace (podkladni vrstvy)</t>
  </si>
  <si>
    <t xml:space="preserve">odhad 10%  z plochy 2409,6m2 * 0,10 *prům. tl. 0,20 m  = 48,192000 =&gt; B</t>
  </si>
  <si>
    <t>12922</t>
  </si>
  <si>
    <t>ČIŠTĚNÍ KRAJNIC OD NÁNOSU TL. DO 100MM</t>
  </si>
  <si>
    <t>M2</t>
  </si>
  <si>
    <t xml:space="preserve">plocha 428,5 m2  = 428,500000 =&gt; A</t>
  </si>
  <si>
    <t>12932</t>
  </si>
  <si>
    <t>ČIŠTĚNÍ PŘÍKOPŮ OD NÁNOSU DO 0,5M3/M</t>
  </si>
  <si>
    <t>400 = 400,000000 =&gt; A</t>
  </si>
  <si>
    <t>17180</t>
  </si>
  <si>
    <t>ULOŽENÍ SYPANINY DO NÁSYPŮ Z NAKUPOVANÝCH MATERIÁLŮ</t>
  </si>
  <si>
    <t>lokální sanace OŽK, sypanina dle ČSN 73 6133</t>
  </si>
  <si>
    <t xml:space="preserve">odhad 10%  z plochy 2409,6m2 * 0,10 *prům. tl. 0,50m  = 120,480000 =&gt; B</t>
  </si>
  <si>
    <t>5 - komunikace</t>
  </si>
  <si>
    <t>56330</t>
  </si>
  <si>
    <t>VOZOVKOVÉ VRSTVY ZE ŠTĚRKODRTI</t>
  </si>
  <si>
    <t>lokální sanace</t>
  </si>
  <si>
    <t xml:space="preserve">odhad 10%  z plochy 2409,5m2 * 0,10 *prům. tl. 0,40 m2  = 96,380000 =&gt; B</t>
  </si>
  <si>
    <t>572213</t>
  </si>
  <si>
    <t>SPOJOVACÍ POSTŘIK Z EMULZE DO 0,5KG/M2</t>
  </si>
  <si>
    <t>0,3 kg/m2</t>
  </si>
  <si>
    <t xml:space="preserve">Plocha ACO 11+: 2409,6*2 m2  = 4819,200000 =&gt; A</t>
  </si>
  <si>
    <t>567501</t>
  </si>
  <si>
    <t>VRSTVY PRO OBNOVU A OPRAVY RECYKL ZA STUDENA CEMENTEM</t>
  </si>
  <si>
    <t>V tl. do 200 mm.</t>
  </si>
  <si>
    <t xml:space="preserve">Plocha: 2409,6 m2 * tl. 0,20 m  = 481,920000 =&gt; A</t>
  </si>
  <si>
    <t>572123</t>
  </si>
  <si>
    <t>INFILTRAČNÍ POSTŘIK Z EMULZE DO 1,0KG/M2</t>
  </si>
  <si>
    <t>PI-C 1,0 kg/m2</t>
  </si>
  <si>
    <t xml:space="preserve">plocha ACP 16+: 2409,6 m2    = 2409,600000 =&gt; A</t>
  </si>
  <si>
    <t>56360</t>
  </si>
  <si>
    <t>VOZOVKOVÉ VRSTVY Z RECYKLOVANÉHO MATERIÁLU</t>
  </si>
  <si>
    <t>R-mat. (tl. 100 mm) Nezpevněné sjezdy</t>
  </si>
  <si>
    <t xml:space="preserve">plocha: 60,4m  * tl. 0,10 m  = 6,040000 =&gt; A</t>
  </si>
  <si>
    <t>56960</t>
  </si>
  <si>
    <t>ZPEVNĚNÍ KRAJNIC Z RECYKLOVANÉHO MATERIÁLU</t>
  </si>
  <si>
    <t>R-mat. frakce 0-22 mm nezpevněná krajnice</t>
  </si>
  <si>
    <t xml:space="preserve">plocha: 428,5m2 * tl. 0,10 m  = 42,850000 =&gt; A</t>
  </si>
  <si>
    <t>5774AE</t>
  </si>
  <si>
    <t>VRSTVY PRO OBNOVU A OPRAVY Z ASF BETONU ACO 11+</t>
  </si>
  <si>
    <t>ACO 11+</t>
  </si>
  <si>
    <t xml:space="preserve">Plocha ACO 11+: 2409,6 m2 * tl. 0,04 m  = 96,384000 =&gt; A</t>
  </si>
  <si>
    <t>5774EG</t>
  </si>
  <si>
    <t>VRSTVY PRO OBNOVU A OPRAVY Z ASF BETONU ACP 16+, 16S</t>
  </si>
  <si>
    <t>ACP 16+</t>
  </si>
  <si>
    <t xml:space="preserve">ACP 16+ plocha: 2409,6m2 * prům. tl. 0,06 m  = 144,576000 =&gt; A</t>
  </si>
  <si>
    <t>574A01</t>
  </si>
  <si>
    <t>ASFALTOVÝ BETON PRO OBRUSNÉ VRSTVY ACO 8</t>
  </si>
  <si>
    <t>Vyrovnání příčného sklonu vozovky.</t>
  </si>
  <si>
    <t xml:space="preserve">Plocha ACO 8 : 2409,6 m2 * tl. 0,03 m  = 72,288000 =&gt; A</t>
  </si>
  <si>
    <t>8 - potrubí</t>
  </si>
  <si>
    <t>89921</t>
  </si>
  <si>
    <t>VÝŠKOVÁ ÚPRAVA POKLOPŮ</t>
  </si>
  <si>
    <t>KUS</t>
  </si>
  <si>
    <t>3 = 3,000000 =&gt; A</t>
  </si>
  <si>
    <t>9 - ostatní práce</t>
  </si>
  <si>
    <t>931316</t>
  </si>
  <si>
    <t>TĚSNĚNÍ DILATAČ SPAR ASF ZÁLIVKOU PRŮŘ DO 800MM2</t>
  </si>
  <si>
    <t>Těsnění po frézování drážky</t>
  </si>
  <si>
    <t>914921</t>
  </si>
  <si>
    <t>SLOUPKY A STOJKY DOPRAVNÍCH ZNAČEK Z OCEL TRUBEK DO PATKY - DODÁVKA A MONTÁŽ</t>
  </si>
  <si>
    <t>P4: 1 = 1,000000 =&gt; A _x000d_
IZ4a: 1 = 1,000000 =&gt; B _x000d_
IZ4b: 1 = 1,000000 =&gt; C _x000d_
IS3b+IS3c+IS19b+IS19c: 1 = 1,000000 =&gt; D _x000d_
Celkem: A+B+C+D = 4,000000 =&gt; E</t>
  </si>
  <si>
    <t>914923</t>
  </si>
  <si>
    <t>SLOUPKY A STOJKY DZ Z OCEL TRUBEK DO PATKY DEMONTÁŽ</t>
  </si>
  <si>
    <t>93808</t>
  </si>
  <si>
    <t>OČIŠTĚNÍ VOZOVEK ZAMETENÍM</t>
  </si>
  <si>
    <t xml:space="preserve">Plocha ACO: 2409,6 m2   = 2409,600000 =&gt; A</t>
  </si>
  <si>
    <t>914131</t>
  </si>
  <si>
    <t>DOPRAVNÍ ZNAČKY ZÁKLADNÍ VELIKOSTI OCELOVÉ FÓLIE TŘ 2 - DODÁVKA A MONTÁŽ</t>
  </si>
  <si>
    <t>914133</t>
  </si>
  <si>
    <t>DOPRAVNÍ ZNAČKY ZÁKLADNÍ VELIKOSTI OCELOVÉ FÓLIE TŘ 2 - DEMONTÁŽ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</si>
</sst>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7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wrapText="1"/>
    </xf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4" fillId="2" borderId="12" xfId="0" applyFont="1" applyFill="1" applyBorder="1" applyAlignment="1" applyProtection="1">
      <alignment wrapText="1"/>
    </xf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8" xfId="0" applyBorder="1" applyProtection="1"/>
    <xf numFmtId="0" fontId="0" fillId="0" borderId="4" xfId="0" applyBorder="1" applyProtection="1"/>
    <xf numFmtId="0" fontId="0" fillId="0" borderId="6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f>SUM(D20,D21)</f>
        <v>4783078.9699999997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10</v>
      </c>
      <c r="E13" s="16"/>
      <c r="F13" s="19">
        <f>SUM(F20,F21)</f>
        <v>5787525.5499999998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4" t="s">
        <v>20</v>
      </c>
      <c r="D20" s="25">
        <f>'0 - SO000'!J10</f>
        <v>95000</v>
      </c>
      <c r="E20" s="26"/>
      <c r="F20" s="25">
        <f>('0 - SO000'!J11)</f>
        <v>114950</v>
      </c>
      <c r="G20" s="12"/>
      <c r="H20" s="2"/>
      <c r="I20" s="2"/>
      <c r="S20" s="27">
        <f>ROUND('0 - SO000'!S11,4)</f>
        <v>1895345000</v>
      </c>
    </row>
    <row r="21">
      <c r="A21" s="9"/>
      <c r="B21" s="23" t="s">
        <v>21</v>
      </c>
      <c r="C21" s="24" t="s">
        <v>22</v>
      </c>
      <c r="D21" s="25">
        <f>'1 - SO101'!J10</f>
        <v>4688078.9699999997</v>
      </c>
      <c r="E21" s="26"/>
      <c r="F21" s="25">
        <f>('1 - SO101'!J11)</f>
        <v>5672575.5499999998</v>
      </c>
      <c r="G21" s="12"/>
      <c r="H21" s="2"/>
      <c r="I21" s="2"/>
      <c r="S21" s="27">
        <f>ROUND('1 - SO101'!S11,4)</f>
        <v>3549871738762.5698</v>
      </c>
    </row>
    <row r="22">
      <c r="A22" s="13"/>
      <c r="B22" s="4"/>
      <c r="C22" s="4"/>
      <c r="D22" s="4"/>
      <c r="E22" s="4"/>
      <c r="F22" s="4"/>
      <c r="G22" s="14"/>
      <c r="H22" s="2"/>
      <c r="I22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101'!A11" display="'SO101"/>
  </hyperlinks>
  <pageMargins left="0.39375" right="0.39375" top="0.5902778" bottom="0.39375" header="0.1965278" footer="0.1576389"/>
  <pageSetup paperSize="9" orientation="portrait"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24</v>
      </c>
      <c r="B10" s="1"/>
      <c r="C10" s="16"/>
      <c r="D10" s="1"/>
      <c r="E10" s="1"/>
      <c r="F10" s="1"/>
      <c r="G10" s="17"/>
      <c r="H10" s="1"/>
      <c r="I10" s="31" t="s">
        <v>25</v>
      </c>
      <c r="J10" s="32">
        <f>H42</f>
        <v>95000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26</v>
      </c>
      <c r="B11" s="1"/>
      <c r="C11" s="1"/>
      <c r="D11" s="1"/>
      <c r="E11" s="1"/>
      <c r="F11" s="1"/>
      <c r="G11" s="31"/>
      <c r="H11" s="1"/>
      <c r="I11" s="31" t="s">
        <v>27</v>
      </c>
      <c r="J11" s="32">
        <f>L42</f>
        <v>114950</v>
      </c>
      <c r="K11" s="1"/>
      <c r="L11" s="1"/>
      <c r="M11" s="12"/>
      <c r="N11" s="2"/>
      <c r="O11" s="2"/>
      <c r="P11" s="2"/>
      <c r="Q11" s="33">
        <f>IF(SUM(K20)&gt;0,ROUND(SUM(S20)/SUM(K20)-1,8),0)</f>
        <v>19950</v>
      </c>
      <c r="R11" s="27">
        <f>AVERAGE(J41)</f>
        <v>19950</v>
      </c>
      <c r="S11" s="27">
        <f>J10*(1+Q11)</f>
        <v>1895345000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29</v>
      </c>
      <c r="C19" s="34"/>
      <c r="D19" s="34"/>
      <c r="E19" s="34" t="s">
        <v>30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31</v>
      </c>
      <c r="F20" s="1"/>
      <c r="G20" s="1"/>
      <c r="H20" s="1"/>
      <c r="I20" s="1"/>
      <c r="J20" s="1"/>
      <c r="K20" s="38">
        <f>H42</f>
        <v>95000</v>
      </c>
      <c r="L20" s="38">
        <f>L42</f>
        <v>114950</v>
      </c>
      <c r="M20" s="12"/>
      <c r="N20" s="2"/>
      <c r="O20" s="2"/>
      <c r="P20" s="2"/>
      <c r="Q20" s="2"/>
      <c r="S20" s="27">
        <f>S41</f>
        <v>1895345000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32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33</v>
      </c>
      <c r="C24" s="34" t="s">
        <v>29</v>
      </c>
      <c r="D24" s="34" t="s">
        <v>34</v>
      </c>
      <c r="E24" s="34" t="s">
        <v>30</v>
      </c>
      <c r="F24" s="34" t="s">
        <v>35</v>
      </c>
      <c r="G24" s="35" t="s">
        <v>36</v>
      </c>
      <c r="H24" s="22" t="s">
        <v>37</v>
      </c>
      <c r="I24" s="22" t="s">
        <v>38</v>
      </c>
      <c r="J24" s="22" t="s">
        <v>17</v>
      </c>
      <c r="K24" s="35" t="s">
        <v>39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39" t="s">
        <v>40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41</v>
      </c>
      <c r="D26" s="42"/>
      <c r="E26" s="42" t="s">
        <v>42</v>
      </c>
      <c r="F26" s="42" t="s">
        <v>3</v>
      </c>
      <c r="G26" s="43" t="s">
        <v>43</v>
      </c>
      <c r="H26" s="44">
        <v>1</v>
      </c>
      <c r="I26" s="25">
        <f>ROUND(30000,2)</f>
        <v>30000</v>
      </c>
      <c r="J26" s="45">
        <f>ROUND(I26*H26,2)</f>
        <v>30000</v>
      </c>
      <c r="K26" s="46">
        <v>0.20999999999999999</v>
      </c>
      <c r="L26" s="47">
        <f>IF(ISNUMBER(K26),ROUND(J26*(K26+1),2),0)</f>
        <v>36300</v>
      </c>
      <c r="M26" s="12"/>
      <c r="N26" s="2"/>
      <c r="O26" s="2"/>
      <c r="P26" s="2"/>
      <c r="Q26" s="33">
        <f>IF(ISNUMBER(K26),IF(H26&gt;0,IF(I26&gt;0,J26,0),0),0)</f>
        <v>30000</v>
      </c>
      <c r="R26" s="27">
        <f>IF(ISNUMBER(K26)=FALSE,J26,0)</f>
        <v>0</v>
      </c>
    </row>
    <row r="27">
      <c r="A27" s="9"/>
      <c r="B27" s="48" t="s">
        <v>44</v>
      </c>
      <c r="C27" s="1"/>
      <c r="D27" s="1"/>
      <c r="E27" s="49" t="s">
        <v>45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 thickBot="1" ht="13.5">
      <c r="A28" s="9"/>
      <c r="B28" s="50" t="s">
        <v>46</v>
      </c>
      <c r="C28" s="51"/>
      <c r="D28" s="51"/>
      <c r="E28" s="52" t="s">
        <v>47</v>
      </c>
      <c r="F28" s="51"/>
      <c r="G28" s="51"/>
      <c r="H28" s="53"/>
      <c r="I28" s="51"/>
      <c r="J28" s="53"/>
      <c r="K28" s="51"/>
      <c r="L28" s="51"/>
      <c r="M28" s="12"/>
      <c r="N28" s="2"/>
      <c r="O28" s="2"/>
      <c r="P28" s="2"/>
      <c r="Q28" s="2"/>
    </row>
    <row r="29" thickTop="1" ht="13.5">
      <c r="A29" s="9"/>
      <c r="B29" s="41">
        <v>2</v>
      </c>
      <c r="C29" s="42" t="s">
        <v>48</v>
      </c>
      <c r="D29" s="42"/>
      <c r="E29" s="42" t="s">
        <v>49</v>
      </c>
      <c r="F29" s="42" t="s">
        <v>3</v>
      </c>
      <c r="G29" s="43" t="s">
        <v>43</v>
      </c>
      <c r="H29" s="54">
        <v>1</v>
      </c>
      <c r="I29" s="55">
        <f>ROUND(20000,2)</f>
        <v>20000</v>
      </c>
      <c r="J29" s="56">
        <f>ROUND(I29*H29,2)</f>
        <v>20000</v>
      </c>
      <c r="K29" s="57">
        <v>0.20999999999999999</v>
      </c>
      <c r="L29" s="58">
        <f>IF(ISNUMBER(K29),ROUND(J29*(K29+1),2),0)</f>
        <v>24200</v>
      </c>
      <c r="M29" s="12"/>
      <c r="N29" s="2"/>
      <c r="O29" s="2"/>
      <c r="P29" s="2"/>
      <c r="Q29" s="33">
        <f>IF(ISNUMBER(K29),IF(H29&gt;0,IF(I29&gt;0,J29,0),0),0)</f>
        <v>20000</v>
      </c>
      <c r="R29" s="27">
        <f>IF(ISNUMBER(K29)=FALSE,J29,0)</f>
        <v>0</v>
      </c>
    </row>
    <row r="30">
      <c r="A30" s="9"/>
      <c r="B30" s="48" t="s">
        <v>44</v>
      </c>
      <c r="C30" s="1"/>
      <c r="D30" s="1"/>
      <c r="E30" s="49" t="s">
        <v>50</v>
      </c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 thickBot="1" ht="13.5">
      <c r="A31" s="9"/>
      <c r="B31" s="50" t="s">
        <v>46</v>
      </c>
      <c r="C31" s="51"/>
      <c r="D31" s="51"/>
      <c r="E31" s="52" t="s">
        <v>47</v>
      </c>
      <c r="F31" s="51"/>
      <c r="G31" s="51"/>
      <c r="H31" s="53"/>
      <c r="I31" s="51"/>
      <c r="J31" s="53"/>
      <c r="K31" s="51"/>
      <c r="L31" s="51"/>
      <c r="M31" s="12"/>
      <c r="N31" s="2"/>
      <c r="O31" s="2"/>
      <c r="P31" s="2"/>
      <c r="Q31" s="2"/>
    </row>
    <row r="32" thickTop="1" ht="13.5">
      <c r="A32" s="9"/>
      <c r="B32" s="41">
        <v>3</v>
      </c>
      <c r="C32" s="42" t="s">
        <v>51</v>
      </c>
      <c r="D32" s="42"/>
      <c r="E32" s="42" t="s">
        <v>52</v>
      </c>
      <c r="F32" s="42" t="s">
        <v>3</v>
      </c>
      <c r="G32" s="43" t="s">
        <v>43</v>
      </c>
      <c r="H32" s="54">
        <v>1</v>
      </c>
      <c r="I32" s="55">
        <f>ROUND(5000,2)</f>
        <v>5000</v>
      </c>
      <c r="J32" s="56">
        <f>ROUND(I32*H32,2)</f>
        <v>5000</v>
      </c>
      <c r="K32" s="57">
        <v>0.20999999999999999</v>
      </c>
      <c r="L32" s="58">
        <f>IF(ISNUMBER(K32),ROUND(J32*(K32+1),2),0)</f>
        <v>6050</v>
      </c>
      <c r="M32" s="12"/>
      <c r="N32" s="2"/>
      <c r="O32" s="2"/>
      <c r="P32" s="2"/>
      <c r="Q32" s="33">
        <f>IF(ISNUMBER(K32),IF(H32&gt;0,IF(I32&gt;0,J32,0),0),0)</f>
        <v>5000</v>
      </c>
      <c r="R32" s="27">
        <f>IF(ISNUMBER(K32)=FALSE,J32,0)</f>
        <v>0</v>
      </c>
    </row>
    <row r="33">
      <c r="A33" s="9"/>
      <c r="B33" s="48" t="s">
        <v>44</v>
      </c>
      <c r="C33" s="1"/>
      <c r="D33" s="1"/>
      <c r="E33" s="49" t="s">
        <v>3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 thickBot="1" ht="13.5">
      <c r="A34" s="9"/>
      <c r="B34" s="50" t="s">
        <v>46</v>
      </c>
      <c r="C34" s="51"/>
      <c r="D34" s="51"/>
      <c r="E34" s="52" t="s">
        <v>47</v>
      </c>
      <c r="F34" s="51"/>
      <c r="G34" s="51"/>
      <c r="H34" s="53"/>
      <c r="I34" s="51"/>
      <c r="J34" s="53"/>
      <c r="K34" s="51"/>
      <c r="L34" s="51"/>
      <c r="M34" s="12"/>
      <c r="N34" s="2"/>
      <c r="O34" s="2"/>
      <c r="P34" s="2"/>
      <c r="Q34" s="2"/>
    </row>
    <row r="35" thickTop="1" ht="13.5">
      <c r="A35" s="9"/>
      <c r="B35" s="41">
        <v>4</v>
      </c>
      <c r="C35" s="42" t="s">
        <v>53</v>
      </c>
      <c r="D35" s="42"/>
      <c r="E35" s="42" t="s">
        <v>54</v>
      </c>
      <c r="F35" s="42" t="s">
        <v>3</v>
      </c>
      <c r="G35" s="43" t="s">
        <v>43</v>
      </c>
      <c r="H35" s="54">
        <v>1</v>
      </c>
      <c r="I35" s="55">
        <f>ROUND(10000,2)</f>
        <v>10000</v>
      </c>
      <c r="J35" s="56">
        <f>ROUND(I35*H35,2)</f>
        <v>10000</v>
      </c>
      <c r="K35" s="57">
        <v>0.20999999999999999</v>
      </c>
      <c r="L35" s="58">
        <f>IF(ISNUMBER(K35),ROUND(J35*(K35+1),2),0)</f>
        <v>12100</v>
      </c>
      <c r="M35" s="12"/>
      <c r="N35" s="2"/>
      <c r="O35" s="2"/>
      <c r="P35" s="2"/>
      <c r="Q35" s="33">
        <f>IF(ISNUMBER(K35),IF(H35&gt;0,IF(I35&gt;0,J35,0),0),0)</f>
        <v>10000</v>
      </c>
      <c r="R35" s="27">
        <f>IF(ISNUMBER(K35)=FALSE,J35,0)</f>
        <v>0</v>
      </c>
    </row>
    <row r="36">
      <c r="A36" s="9"/>
      <c r="B36" s="48" t="s">
        <v>44</v>
      </c>
      <c r="C36" s="1"/>
      <c r="D36" s="1"/>
      <c r="E36" s="49" t="s">
        <v>3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 thickBot="1" ht="13.5">
      <c r="A37" s="9"/>
      <c r="B37" s="50" t="s">
        <v>46</v>
      </c>
      <c r="C37" s="51"/>
      <c r="D37" s="51"/>
      <c r="E37" s="52" t="s">
        <v>47</v>
      </c>
      <c r="F37" s="51"/>
      <c r="G37" s="51"/>
      <c r="H37" s="53"/>
      <c r="I37" s="51"/>
      <c r="J37" s="53"/>
      <c r="K37" s="51"/>
      <c r="L37" s="51"/>
      <c r="M37" s="12"/>
      <c r="N37" s="2"/>
      <c r="O37" s="2"/>
      <c r="P37" s="2"/>
      <c r="Q37" s="2"/>
    </row>
    <row r="38" thickTop="1" ht="13.5">
      <c r="A38" s="9"/>
      <c r="B38" s="41">
        <v>5</v>
      </c>
      <c r="C38" s="42" t="s">
        <v>55</v>
      </c>
      <c r="D38" s="42"/>
      <c r="E38" s="42" t="s">
        <v>56</v>
      </c>
      <c r="F38" s="42" t="s">
        <v>3</v>
      </c>
      <c r="G38" s="43" t="s">
        <v>43</v>
      </c>
      <c r="H38" s="54">
        <v>1</v>
      </c>
      <c r="I38" s="55">
        <f>ROUND(30000,2)</f>
        <v>30000</v>
      </c>
      <c r="J38" s="56">
        <f>ROUND(I38*H38,2)</f>
        <v>30000</v>
      </c>
      <c r="K38" s="57">
        <v>0.20999999999999999</v>
      </c>
      <c r="L38" s="58">
        <f>IF(ISNUMBER(K38),ROUND(J38*(K38+1),2),0)</f>
        <v>36300</v>
      </c>
      <c r="M38" s="12"/>
      <c r="N38" s="2"/>
      <c r="O38" s="2"/>
      <c r="P38" s="2"/>
      <c r="Q38" s="33">
        <f>IF(ISNUMBER(K38),IF(H38&gt;0,IF(I38&gt;0,J38,0),0),0)</f>
        <v>30000</v>
      </c>
      <c r="R38" s="27">
        <f>IF(ISNUMBER(K38)=FALSE,J38,0)</f>
        <v>0</v>
      </c>
    </row>
    <row r="39">
      <c r="A39" s="9"/>
      <c r="B39" s="48" t="s">
        <v>44</v>
      </c>
      <c r="C39" s="1"/>
      <c r="D39" s="1"/>
      <c r="E39" s="49" t="s">
        <v>3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 ht="13.5">
      <c r="A40" s="9"/>
      <c r="B40" s="50" t="s">
        <v>46</v>
      </c>
      <c r="C40" s="51"/>
      <c r="D40" s="51"/>
      <c r="E40" s="52" t="s">
        <v>47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 thickBot="1" ht="25" customHeight="1">
      <c r="A41" s="9"/>
      <c r="B41" s="1"/>
      <c r="C41" s="59">
        <v>0</v>
      </c>
      <c r="D41" s="1"/>
      <c r="E41" s="60" t="s">
        <v>31</v>
      </c>
      <c r="F41" s="1"/>
      <c r="G41" s="61" t="s">
        <v>57</v>
      </c>
      <c r="H41" s="62">
        <f>J26+J29+J32+J35+J38</f>
        <v>95000</v>
      </c>
      <c r="I41" s="61" t="s">
        <v>58</v>
      </c>
      <c r="J41" s="63">
        <f>(L41-H41)</f>
        <v>19950</v>
      </c>
      <c r="K41" s="61" t="s">
        <v>59</v>
      </c>
      <c r="L41" s="64">
        <f>L26+L29+L32+L35+L38</f>
        <v>114950</v>
      </c>
      <c r="M41" s="12"/>
      <c r="N41" s="2"/>
      <c r="O41" s="2"/>
      <c r="P41" s="2"/>
      <c r="Q41" s="33">
        <f>0+Q26+Q29+Q32+Q35+Q38</f>
        <v>95000</v>
      </c>
      <c r="R41" s="27">
        <f>0+R26+R29+R32+R35+R38</f>
        <v>0</v>
      </c>
      <c r="S41" s="65">
        <f>Q41*(1+J41)+R41</f>
        <v>1895345000</v>
      </c>
    </row>
    <row r="42" thickTop="1" thickBot="1" ht="25" customHeight="1">
      <c r="A42" s="9"/>
      <c r="B42" s="66"/>
      <c r="C42" s="66"/>
      <c r="D42" s="66"/>
      <c r="E42" s="67"/>
      <c r="F42" s="66"/>
      <c r="G42" s="68" t="s">
        <v>60</v>
      </c>
      <c r="H42" s="69">
        <f>J26+J29+J32+J35+J38</f>
        <v>95000</v>
      </c>
      <c r="I42" s="68" t="s">
        <v>61</v>
      </c>
      <c r="J42" s="70">
        <f>0+J41</f>
        <v>19950</v>
      </c>
      <c r="K42" s="68" t="s">
        <v>62</v>
      </c>
      <c r="L42" s="71">
        <f>L26+L29+L32+L35+L38</f>
        <v>114950</v>
      </c>
      <c r="M42" s="12"/>
      <c r="N42" s="2"/>
      <c r="O42" s="2"/>
      <c r="P42" s="2"/>
      <c r="Q42" s="2"/>
    </row>
    <row r="43">
      <c r="A43" s="13"/>
      <c r="B43" s="4"/>
      <c r="C43" s="4"/>
      <c r="D43" s="4"/>
      <c r="E43" s="4"/>
      <c r="F43" s="4"/>
      <c r="G43" s="4"/>
      <c r="H43" s="72"/>
      <c r="I43" s="4"/>
      <c r="J43" s="72"/>
      <c r="K43" s="4"/>
      <c r="L43" s="4"/>
      <c r="M43" s="14"/>
      <c r="N43" s="2"/>
      <c r="O43" s="2"/>
      <c r="P43" s="2"/>
      <c r="Q43" s="2"/>
    </row>
    <row r="44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2"/>
      <c r="O44" s="2"/>
      <c r="P44" s="2"/>
      <c r="Q44" s="2"/>
    </row>
  </sheetData>
  <mergeCells count="25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30:D30"/>
    <mergeCell ref="B31:D31"/>
    <mergeCell ref="B33:D33"/>
    <mergeCell ref="B34:D34"/>
    <mergeCell ref="B36:D36"/>
    <mergeCell ref="B37:D37"/>
    <mergeCell ref="B39:D39"/>
    <mergeCell ref="B40:D40"/>
    <mergeCell ref="B25:L25"/>
    <mergeCell ref="B20:D20"/>
  </mergeCells>
  <pageMargins left="0.39375" right="0.39375" top="0.5902778" bottom="0.39375" header="0.1965278" footer="0.1576389"/>
  <pageSetup paperSize="9" orientation="portrait"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23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24</v>
      </c>
      <c r="B10" s="1"/>
      <c r="C10" s="16"/>
      <c r="D10" s="1"/>
      <c r="E10" s="1"/>
      <c r="F10" s="1"/>
      <c r="G10" s="17"/>
      <c r="H10" s="1"/>
      <c r="I10" s="31" t="s">
        <v>25</v>
      </c>
      <c r="J10" s="32">
        <f>H34+H61+H91+H97+H118</f>
        <v>4688078.9699999997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63</v>
      </c>
      <c r="B11" s="1"/>
      <c r="C11" s="1"/>
      <c r="D11" s="1"/>
      <c r="E11" s="1"/>
      <c r="F11" s="1"/>
      <c r="G11" s="31"/>
      <c r="H11" s="1"/>
      <c r="I11" s="31" t="s">
        <v>27</v>
      </c>
      <c r="J11" s="32">
        <f>L34+L61+L91+L97+L118</f>
        <v>5672575.5499999998</v>
      </c>
      <c r="K11" s="1"/>
      <c r="L11" s="1"/>
      <c r="M11" s="12"/>
      <c r="N11" s="2"/>
      <c r="O11" s="2"/>
      <c r="P11" s="2"/>
      <c r="Q11" s="33">
        <f>IF(SUM(K20:K24)&gt;0,ROUND(SUM(S20:S24)/SUM(K20:K24)-1,8),0)</f>
        <v>757211.44490097999</v>
      </c>
      <c r="R11" s="27">
        <f>AVERAGE(J33,J60,J90,J96,J117)</f>
        <v>196899.31600000002</v>
      </c>
      <c r="S11" s="27">
        <f>J10*(1+Q11)</f>
        <v>3549871738762.5679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28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29</v>
      </c>
      <c r="C19" s="34"/>
      <c r="D19" s="34"/>
      <c r="E19" s="34" t="s">
        <v>30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31</v>
      </c>
      <c r="F20" s="1"/>
      <c r="G20" s="1"/>
      <c r="H20" s="1"/>
      <c r="I20" s="1"/>
      <c r="J20" s="1"/>
      <c r="K20" s="38">
        <f>H34</f>
        <v>131587.39999999999</v>
      </c>
      <c r="L20" s="38">
        <f>L34</f>
        <v>159220.75</v>
      </c>
      <c r="M20" s="12"/>
      <c r="N20" s="2"/>
      <c r="O20" s="2"/>
      <c r="P20" s="2"/>
      <c r="Q20" s="2"/>
      <c r="S20" s="27">
        <f>S33</f>
        <v>3636332267.1900005</v>
      </c>
    </row>
    <row r="21">
      <c r="A21" s="9"/>
      <c r="B21" s="36">
        <v>1</v>
      </c>
      <c r="C21" s="1"/>
      <c r="D21" s="1"/>
      <c r="E21" s="37" t="s">
        <v>64</v>
      </c>
      <c r="F21" s="1"/>
      <c r="G21" s="1"/>
      <c r="H21" s="1"/>
      <c r="I21" s="1"/>
      <c r="J21" s="1"/>
      <c r="K21" s="38">
        <f>H61</f>
        <v>442967.14000000001</v>
      </c>
      <c r="L21" s="38">
        <f>L61</f>
        <v>535990.23999999999</v>
      </c>
      <c r="M21" s="12"/>
      <c r="N21" s="2"/>
      <c r="O21" s="2"/>
      <c r="P21" s="2"/>
      <c r="Q21" s="2"/>
      <c r="S21" s="27">
        <f>S60</f>
        <v>41206619528.07399</v>
      </c>
    </row>
    <row r="22">
      <c r="A22" s="9"/>
      <c r="B22" s="36">
        <v>5</v>
      </c>
      <c r="C22" s="1"/>
      <c r="D22" s="1"/>
      <c r="E22" s="37" t="s">
        <v>65</v>
      </c>
      <c r="F22" s="1"/>
      <c r="G22" s="1"/>
      <c r="H22" s="1"/>
      <c r="I22" s="1"/>
      <c r="J22" s="1"/>
      <c r="K22" s="38">
        <f>H91</f>
        <v>4085350.75</v>
      </c>
      <c r="L22" s="38">
        <f>L91</f>
        <v>4943274.4100000001</v>
      </c>
      <c r="M22" s="12"/>
      <c r="N22" s="2"/>
      <c r="O22" s="2"/>
      <c r="P22" s="2"/>
      <c r="Q22" s="2"/>
      <c r="S22" s="27">
        <f>S90</f>
        <v>3504923153174.4956</v>
      </c>
    </row>
    <row r="23">
      <c r="A23" s="9"/>
      <c r="B23" s="36">
        <v>8</v>
      </c>
      <c r="C23" s="1"/>
      <c r="D23" s="1"/>
      <c r="E23" s="37" t="s">
        <v>66</v>
      </c>
      <c r="F23" s="1"/>
      <c r="G23" s="1"/>
      <c r="H23" s="1"/>
      <c r="I23" s="1"/>
      <c r="J23" s="1"/>
      <c r="K23" s="38">
        <f>H97</f>
        <v>6806.5200000000004</v>
      </c>
      <c r="L23" s="38">
        <f>L97</f>
        <v>8235.8899999999994</v>
      </c>
      <c r="M23" s="12"/>
      <c r="N23" s="2"/>
      <c r="O23" s="2"/>
      <c r="P23" s="2"/>
      <c r="Q23" s="2"/>
      <c r="S23" s="27">
        <f>S96</f>
        <v>9735842.0123999938</v>
      </c>
    </row>
    <row r="24">
      <c r="A24" s="9"/>
      <c r="B24" s="36">
        <v>9</v>
      </c>
      <c r="C24" s="1"/>
      <c r="D24" s="1"/>
      <c r="E24" s="37" t="s">
        <v>67</v>
      </c>
      <c r="F24" s="1"/>
      <c r="G24" s="1"/>
      <c r="H24" s="1"/>
      <c r="I24" s="1"/>
      <c r="J24" s="1"/>
      <c r="K24" s="38">
        <f>H118</f>
        <v>21367.16</v>
      </c>
      <c r="L24" s="38">
        <f>L118</f>
        <v>25854.260000000002</v>
      </c>
      <c r="M24" s="12"/>
      <c r="N24" s="2"/>
      <c r="O24" s="2"/>
      <c r="P24" s="2"/>
      <c r="Q24" s="2"/>
      <c r="S24" s="27">
        <f>S117</f>
        <v>95897950.796000049</v>
      </c>
    </row>
    <row r="25">
      <c r="A25" s="13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73"/>
      <c r="N25" s="2"/>
      <c r="O25" s="2"/>
      <c r="P25" s="2"/>
      <c r="Q25" s="2"/>
    </row>
    <row r="26" ht="14" customHeight="1">
      <c r="A26" s="4"/>
      <c r="B26" s="28" t="s">
        <v>32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2"/>
      <c r="N26" s="2"/>
      <c r="O26" s="2"/>
      <c r="P26" s="2"/>
      <c r="Q26" s="2"/>
    </row>
    <row r="27" ht="18" customHeight="1">
      <c r="A27" s="6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4"/>
      <c r="N27" s="2"/>
      <c r="O27" s="2"/>
      <c r="P27" s="2"/>
      <c r="Q27" s="2"/>
    </row>
    <row r="28" ht="18" customHeight="1">
      <c r="A28" s="9"/>
      <c r="B28" s="34" t="s">
        <v>33</v>
      </c>
      <c r="C28" s="34" t="s">
        <v>29</v>
      </c>
      <c r="D28" s="34" t="s">
        <v>34</v>
      </c>
      <c r="E28" s="34" t="s">
        <v>30</v>
      </c>
      <c r="F28" s="34" t="s">
        <v>35</v>
      </c>
      <c r="G28" s="35" t="s">
        <v>36</v>
      </c>
      <c r="H28" s="22" t="s">
        <v>37</v>
      </c>
      <c r="I28" s="22" t="s">
        <v>38</v>
      </c>
      <c r="J28" s="22" t="s">
        <v>17</v>
      </c>
      <c r="K28" s="35" t="s">
        <v>39</v>
      </c>
      <c r="L28" s="22" t="s">
        <v>18</v>
      </c>
      <c r="M28" s="75"/>
      <c r="N28" s="2"/>
      <c r="O28" s="2"/>
      <c r="P28" s="2"/>
      <c r="Q28" s="2"/>
    </row>
    <row r="29" ht="40" customHeight="1">
      <c r="A29" s="9"/>
      <c r="B29" s="39" t="s">
        <v>40</v>
      </c>
      <c r="C29" s="1"/>
      <c r="D29" s="1"/>
      <c r="E29" s="1"/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>
      <c r="A30" s="9"/>
      <c r="B30" s="41">
        <v>1</v>
      </c>
      <c r="C30" s="42" t="s">
        <v>68</v>
      </c>
      <c r="D30" s="42"/>
      <c r="E30" s="42" t="s">
        <v>69</v>
      </c>
      <c r="F30" s="42" t="s">
        <v>3</v>
      </c>
      <c r="G30" s="43" t="s">
        <v>70</v>
      </c>
      <c r="H30" s="44">
        <v>657.93700000000001</v>
      </c>
      <c r="I30" s="25">
        <f>ROUND(200,2)</f>
        <v>200</v>
      </c>
      <c r="J30" s="45">
        <f>ROUND(I30*H30,2)</f>
        <v>131587.39999999999</v>
      </c>
      <c r="K30" s="46">
        <v>0.20999999999999999</v>
      </c>
      <c r="L30" s="47">
        <f>IF(ISNUMBER(K30),ROUND(J30*(K30+1),2),0)</f>
        <v>159220.75</v>
      </c>
      <c r="M30" s="12"/>
      <c r="N30" s="2"/>
      <c r="O30" s="2"/>
      <c r="P30" s="2"/>
      <c r="Q30" s="33">
        <f>IF(ISNUMBER(K30),IF(H30&gt;0,IF(I30&gt;0,J30,0),0),0)</f>
        <v>131587.39999999999</v>
      </c>
      <c r="R30" s="27">
        <f>IF(ISNUMBER(K30)=FALSE,J30,0)</f>
        <v>0</v>
      </c>
    </row>
    <row r="31">
      <c r="A31" s="9"/>
      <c r="B31" s="48" t="s">
        <v>44</v>
      </c>
      <c r="C31" s="1"/>
      <c r="D31" s="1"/>
      <c r="E31" s="49" t="s">
        <v>71</v>
      </c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 thickBot="1" ht="90">
      <c r="A32" s="9"/>
      <c r="B32" s="50" t="s">
        <v>46</v>
      </c>
      <c r="C32" s="51"/>
      <c r="D32" s="51"/>
      <c r="E32" s="52" t="s">
        <v>72</v>
      </c>
      <c r="F32" s="51"/>
      <c r="G32" s="51"/>
      <c r="H32" s="53"/>
      <c r="I32" s="51"/>
      <c r="J32" s="53"/>
      <c r="K32" s="51"/>
      <c r="L32" s="51"/>
      <c r="M32" s="12"/>
      <c r="N32" s="2"/>
      <c r="O32" s="2"/>
      <c r="P32" s="2"/>
      <c r="Q32" s="2"/>
    </row>
    <row r="33" thickTop="1" thickBot="1" ht="25" customHeight="1">
      <c r="A33" s="9"/>
      <c r="B33" s="1"/>
      <c r="C33" s="59">
        <v>0</v>
      </c>
      <c r="D33" s="1"/>
      <c r="E33" s="60" t="s">
        <v>31</v>
      </c>
      <c r="F33" s="1"/>
      <c r="G33" s="61" t="s">
        <v>57</v>
      </c>
      <c r="H33" s="62">
        <f>0+J30</f>
        <v>131587.39999999999</v>
      </c>
      <c r="I33" s="61" t="s">
        <v>58</v>
      </c>
      <c r="J33" s="63">
        <f>(L33-H33)</f>
        <v>27633.350000000006</v>
      </c>
      <c r="K33" s="61" t="s">
        <v>59</v>
      </c>
      <c r="L33" s="64">
        <f>0+L30</f>
        <v>159220.75</v>
      </c>
      <c r="M33" s="12"/>
      <c r="N33" s="2"/>
      <c r="O33" s="2"/>
      <c r="P33" s="2"/>
      <c r="Q33" s="33">
        <f>0+Q30</f>
        <v>131587.39999999999</v>
      </c>
      <c r="R33" s="27">
        <f>0+R30</f>
        <v>0</v>
      </c>
      <c r="S33" s="65">
        <f>Q33*(1+J33)+R33</f>
        <v>3636332267.1900005</v>
      </c>
    </row>
    <row r="34" thickTop="1" thickBot="1" ht="25" customHeight="1">
      <c r="A34" s="9"/>
      <c r="B34" s="66"/>
      <c r="C34" s="66"/>
      <c r="D34" s="66"/>
      <c r="E34" s="67"/>
      <c r="F34" s="66"/>
      <c r="G34" s="68" t="s">
        <v>60</v>
      </c>
      <c r="H34" s="69">
        <f>0+J30</f>
        <v>131587.39999999999</v>
      </c>
      <c r="I34" s="68" t="s">
        <v>61</v>
      </c>
      <c r="J34" s="70">
        <f>0+J33</f>
        <v>27633.350000000006</v>
      </c>
      <c r="K34" s="68" t="s">
        <v>62</v>
      </c>
      <c r="L34" s="71">
        <f>0+L30</f>
        <v>159220.75</v>
      </c>
      <c r="M34" s="12"/>
      <c r="N34" s="2"/>
      <c r="O34" s="2"/>
      <c r="P34" s="2"/>
      <c r="Q34" s="2"/>
    </row>
    <row r="35" ht="40" customHeight="1">
      <c r="A35" s="9"/>
      <c r="B35" s="76" t="s">
        <v>73</v>
      </c>
      <c r="C35" s="1"/>
      <c r="D35" s="1"/>
      <c r="E35" s="1"/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1">
        <v>3</v>
      </c>
      <c r="C36" s="42" t="s">
        <v>74</v>
      </c>
      <c r="D36" s="42"/>
      <c r="E36" s="42" t="s">
        <v>75</v>
      </c>
      <c r="F36" s="42" t="s">
        <v>3</v>
      </c>
      <c r="G36" s="43" t="s">
        <v>76</v>
      </c>
      <c r="H36" s="44">
        <v>31.324999999999999</v>
      </c>
      <c r="I36" s="25">
        <f>ROUND(319.98,2)</f>
        <v>319.98000000000002</v>
      </c>
      <c r="J36" s="45">
        <f>ROUND(I36*H36,2)</f>
        <v>10023.370000000001</v>
      </c>
      <c r="K36" s="46">
        <v>0.20999999999999999</v>
      </c>
      <c r="L36" s="47">
        <f>IF(ISNUMBER(K36),ROUND(J36*(K36+1),2),0)</f>
        <v>12128.280000000001</v>
      </c>
      <c r="M36" s="12"/>
      <c r="N36" s="2"/>
      <c r="O36" s="2"/>
      <c r="P36" s="2"/>
      <c r="Q36" s="33">
        <f>IF(ISNUMBER(K36),IF(H36&gt;0,IF(I36&gt;0,J36,0),0),0)</f>
        <v>10023.370000000001</v>
      </c>
      <c r="R36" s="27">
        <f>IF(ISNUMBER(K36)=FALSE,J36,0)</f>
        <v>0</v>
      </c>
    </row>
    <row r="37">
      <c r="A37" s="9"/>
      <c r="B37" s="48" t="s">
        <v>44</v>
      </c>
      <c r="C37" s="1"/>
      <c r="D37" s="1"/>
      <c r="E37" s="49" t="s">
        <v>77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 thickBot="1" ht="13.5">
      <c r="A38" s="9"/>
      <c r="B38" s="50" t="s">
        <v>46</v>
      </c>
      <c r="C38" s="51"/>
      <c r="D38" s="51"/>
      <c r="E38" s="52" t="s">
        <v>78</v>
      </c>
      <c r="F38" s="51"/>
      <c r="G38" s="51"/>
      <c r="H38" s="53"/>
      <c r="I38" s="51"/>
      <c r="J38" s="53"/>
      <c r="K38" s="51"/>
      <c r="L38" s="51"/>
      <c r="M38" s="12"/>
      <c r="N38" s="2"/>
      <c r="O38" s="2"/>
      <c r="P38" s="2"/>
      <c r="Q38" s="2"/>
    </row>
    <row r="39" thickTop="1" ht="13.5">
      <c r="A39" s="9"/>
      <c r="B39" s="41">
        <v>4</v>
      </c>
      <c r="C39" s="42" t="s">
        <v>79</v>
      </c>
      <c r="D39" s="42"/>
      <c r="E39" s="42" t="s">
        <v>80</v>
      </c>
      <c r="F39" s="42" t="s">
        <v>3</v>
      </c>
      <c r="G39" s="43" t="s">
        <v>76</v>
      </c>
      <c r="H39" s="54">
        <v>16.867000000000001</v>
      </c>
      <c r="I39" s="55">
        <f>ROUND(747.58,2)</f>
        <v>747.58000000000004</v>
      </c>
      <c r="J39" s="56">
        <f>ROUND(I39*H39,2)</f>
        <v>12609.43</v>
      </c>
      <c r="K39" s="57">
        <v>0.20999999999999999</v>
      </c>
      <c r="L39" s="58">
        <f>IF(ISNUMBER(K39),ROUND(J39*(K39+1),2),0)</f>
        <v>15257.41</v>
      </c>
      <c r="M39" s="12"/>
      <c r="N39" s="2"/>
      <c r="O39" s="2"/>
      <c r="P39" s="2"/>
      <c r="Q39" s="33">
        <f>IF(ISNUMBER(K39),IF(H39&gt;0,IF(I39&gt;0,J39,0),0),0)</f>
        <v>12609.43</v>
      </c>
      <c r="R39" s="27">
        <f>IF(ISNUMBER(K39)=FALSE,J39,0)</f>
        <v>0</v>
      </c>
    </row>
    <row r="40">
      <c r="A40" s="9"/>
      <c r="B40" s="48" t="s">
        <v>44</v>
      </c>
      <c r="C40" s="1"/>
      <c r="D40" s="1"/>
      <c r="E40" s="49" t="s">
        <v>81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 thickBot="1" ht="13.5">
      <c r="A41" s="9"/>
      <c r="B41" s="50" t="s">
        <v>46</v>
      </c>
      <c r="C41" s="51"/>
      <c r="D41" s="51"/>
      <c r="E41" s="52" t="s">
        <v>82</v>
      </c>
      <c r="F41" s="51"/>
      <c r="G41" s="51"/>
      <c r="H41" s="53"/>
      <c r="I41" s="51"/>
      <c r="J41" s="53"/>
      <c r="K41" s="51"/>
      <c r="L41" s="51"/>
      <c r="M41" s="12"/>
      <c r="N41" s="2"/>
      <c r="O41" s="2"/>
      <c r="P41" s="2"/>
      <c r="Q41" s="2"/>
    </row>
    <row r="42" thickTop="1" ht="13.5">
      <c r="A42" s="9"/>
      <c r="B42" s="41">
        <v>5</v>
      </c>
      <c r="C42" s="42" t="s">
        <v>83</v>
      </c>
      <c r="D42" s="42"/>
      <c r="E42" s="42" t="s">
        <v>84</v>
      </c>
      <c r="F42" s="42" t="s">
        <v>3</v>
      </c>
      <c r="G42" s="43" t="s">
        <v>76</v>
      </c>
      <c r="H42" s="54">
        <v>168.672</v>
      </c>
      <c r="I42" s="55">
        <f>ROUND(1353.84,2)</f>
        <v>1353.8399999999999</v>
      </c>
      <c r="J42" s="56">
        <f>ROUND(I42*H42,2)</f>
        <v>228354.89999999999</v>
      </c>
      <c r="K42" s="57">
        <v>0.20999999999999999</v>
      </c>
      <c r="L42" s="58">
        <f>IF(ISNUMBER(K42),ROUND(J42*(K42+1),2),0)</f>
        <v>276309.42999999999</v>
      </c>
      <c r="M42" s="12"/>
      <c r="N42" s="2"/>
      <c r="O42" s="2"/>
      <c r="P42" s="2"/>
      <c r="Q42" s="33">
        <f>IF(ISNUMBER(K42),IF(H42&gt;0,IF(I42&gt;0,J42,0),0),0)</f>
        <v>228354.89999999999</v>
      </c>
      <c r="R42" s="27">
        <f>IF(ISNUMBER(K42)=FALSE,J42,0)</f>
        <v>0</v>
      </c>
    </row>
    <row r="43" ht="25.5">
      <c r="A43" s="9"/>
      <c r="B43" s="48" t="s">
        <v>44</v>
      </c>
      <c r="C43" s="1"/>
      <c r="D43" s="1"/>
      <c r="E43" s="49" t="s">
        <v>85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 thickBot="1" ht="13.5">
      <c r="A44" s="9"/>
      <c r="B44" s="50" t="s">
        <v>46</v>
      </c>
      <c r="C44" s="51"/>
      <c r="D44" s="51"/>
      <c r="E44" s="52" t="s">
        <v>86</v>
      </c>
      <c r="F44" s="51"/>
      <c r="G44" s="51"/>
      <c r="H44" s="53"/>
      <c r="I44" s="51"/>
      <c r="J44" s="53"/>
      <c r="K44" s="51"/>
      <c r="L44" s="51"/>
      <c r="M44" s="12"/>
      <c r="N44" s="2"/>
      <c r="O44" s="2"/>
      <c r="P44" s="2"/>
      <c r="Q44" s="2"/>
    </row>
    <row r="45" thickTop="1" ht="13.5">
      <c r="A45" s="9"/>
      <c r="B45" s="41">
        <v>6</v>
      </c>
      <c r="C45" s="42" t="s">
        <v>87</v>
      </c>
      <c r="D45" s="42"/>
      <c r="E45" s="42" t="s">
        <v>88</v>
      </c>
      <c r="F45" s="42" t="s">
        <v>3</v>
      </c>
      <c r="G45" s="43" t="s">
        <v>89</v>
      </c>
      <c r="H45" s="54">
        <v>40.5</v>
      </c>
      <c r="I45" s="55">
        <f>ROUND(190.27,2)</f>
        <v>190.27000000000001</v>
      </c>
      <c r="J45" s="56">
        <f>ROUND(I45*H45,2)</f>
        <v>7705.9399999999996</v>
      </c>
      <c r="K45" s="57">
        <v>0.20999999999999999</v>
      </c>
      <c r="L45" s="58">
        <f>IF(ISNUMBER(K45),ROUND(J45*(K45+1),2),0)</f>
        <v>9324.1900000000005</v>
      </c>
      <c r="M45" s="12"/>
      <c r="N45" s="2"/>
      <c r="O45" s="2"/>
      <c r="P45" s="2"/>
      <c r="Q45" s="33">
        <f>IF(ISNUMBER(K45),IF(H45&gt;0,IF(I45&gt;0,J45,0),0),0)</f>
        <v>7705.9399999999996</v>
      </c>
      <c r="R45" s="27">
        <f>IF(ISNUMBER(K45)=FALSE,J45,0)</f>
        <v>0</v>
      </c>
    </row>
    <row r="46">
      <c r="A46" s="9"/>
      <c r="B46" s="48" t="s">
        <v>44</v>
      </c>
      <c r="C46" s="1"/>
      <c r="D46" s="1"/>
      <c r="E46" s="49" t="s">
        <v>90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 thickBot="1" ht="51.75">
      <c r="A47" s="9"/>
      <c r="B47" s="50" t="s">
        <v>46</v>
      </c>
      <c r="C47" s="51"/>
      <c r="D47" s="51"/>
      <c r="E47" s="52" t="s">
        <v>91</v>
      </c>
      <c r="F47" s="51"/>
      <c r="G47" s="51"/>
      <c r="H47" s="53"/>
      <c r="I47" s="51"/>
      <c r="J47" s="53"/>
      <c r="K47" s="51"/>
      <c r="L47" s="51"/>
      <c r="M47" s="12"/>
      <c r="N47" s="2"/>
      <c r="O47" s="2"/>
      <c r="P47" s="2"/>
      <c r="Q47" s="2"/>
    </row>
    <row r="48" thickTop="1" ht="13.5">
      <c r="A48" s="9"/>
      <c r="B48" s="41">
        <v>7</v>
      </c>
      <c r="C48" s="42" t="s">
        <v>92</v>
      </c>
      <c r="D48" s="42"/>
      <c r="E48" s="42" t="s">
        <v>93</v>
      </c>
      <c r="F48" s="42" t="s">
        <v>3</v>
      </c>
      <c r="G48" s="43" t="s">
        <v>76</v>
      </c>
      <c r="H48" s="54">
        <v>48.192</v>
      </c>
      <c r="I48" s="55">
        <f>ROUND(170.38,2)</f>
        <v>170.38</v>
      </c>
      <c r="J48" s="56">
        <f>ROUND(I48*H48,2)</f>
        <v>8210.9500000000007</v>
      </c>
      <c r="K48" s="57">
        <v>0.20999999999999999</v>
      </c>
      <c r="L48" s="58">
        <f>IF(ISNUMBER(K48),ROUND(J48*(K48+1),2),0)</f>
        <v>9935.25</v>
      </c>
      <c r="M48" s="12"/>
      <c r="N48" s="2"/>
      <c r="O48" s="2"/>
      <c r="P48" s="2"/>
      <c r="Q48" s="33">
        <f>IF(ISNUMBER(K48),IF(H48&gt;0,IF(I48&gt;0,J48,0),0),0)</f>
        <v>8210.9500000000007</v>
      </c>
      <c r="R48" s="27">
        <f>IF(ISNUMBER(K48)=FALSE,J48,0)</f>
        <v>0</v>
      </c>
    </row>
    <row r="49">
      <c r="A49" s="9"/>
      <c r="B49" s="48" t="s">
        <v>44</v>
      </c>
      <c r="C49" s="1"/>
      <c r="D49" s="1"/>
      <c r="E49" s="49" t="s">
        <v>94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 ht="13.5">
      <c r="A50" s="9"/>
      <c r="B50" s="50" t="s">
        <v>46</v>
      </c>
      <c r="C50" s="51"/>
      <c r="D50" s="51"/>
      <c r="E50" s="52" t="s">
        <v>95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 ht="13.5">
      <c r="A51" s="9"/>
      <c r="B51" s="41">
        <v>8</v>
      </c>
      <c r="C51" s="42" t="s">
        <v>96</v>
      </c>
      <c r="D51" s="42"/>
      <c r="E51" s="42" t="s">
        <v>97</v>
      </c>
      <c r="F51" s="42" t="s">
        <v>3</v>
      </c>
      <c r="G51" s="43" t="s">
        <v>98</v>
      </c>
      <c r="H51" s="54">
        <v>428.5</v>
      </c>
      <c r="I51" s="55">
        <f>ROUND(57.95,2)</f>
        <v>57.950000000000003</v>
      </c>
      <c r="J51" s="56">
        <f>ROUND(I51*H51,2)</f>
        <v>24831.580000000002</v>
      </c>
      <c r="K51" s="57">
        <v>0.20999999999999999</v>
      </c>
      <c r="L51" s="58">
        <f>IF(ISNUMBER(K51),ROUND(J51*(K51+1),2),0)</f>
        <v>30046.209999999999</v>
      </c>
      <c r="M51" s="12"/>
      <c r="N51" s="2"/>
      <c r="O51" s="2"/>
      <c r="P51" s="2"/>
      <c r="Q51" s="33">
        <f>IF(ISNUMBER(K51),IF(H51&gt;0,IF(I51&gt;0,J51,0),0),0)</f>
        <v>24831.580000000002</v>
      </c>
      <c r="R51" s="27">
        <f>IF(ISNUMBER(K51)=FALSE,J51,0)</f>
        <v>0</v>
      </c>
    </row>
    <row r="52">
      <c r="A52" s="9"/>
      <c r="B52" s="48" t="s">
        <v>44</v>
      </c>
      <c r="C52" s="1"/>
      <c r="D52" s="1"/>
      <c r="E52" s="49" t="s">
        <v>3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 thickBot="1" ht="13.5">
      <c r="A53" s="9"/>
      <c r="B53" s="50" t="s">
        <v>46</v>
      </c>
      <c r="C53" s="51"/>
      <c r="D53" s="51"/>
      <c r="E53" s="52" t="s">
        <v>99</v>
      </c>
      <c r="F53" s="51"/>
      <c r="G53" s="51"/>
      <c r="H53" s="53"/>
      <c r="I53" s="51"/>
      <c r="J53" s="53"/>
      <c r="K53" s="51"/>
      <c r="L53" s="51"/>
      <c r="M53" s="12"/>
      <c r="N53" s="2"/>
      <c r="O53" s="2"/>
      <c r="P53" s="2"/>
      <c r="Q53" s="2"/>
    </row>
    <row r="54" thickTop="1" ht="13.5">
      <c r="A54" s="9"/>
      <c r="B54" s="41">
        <v>9</v>
      </c>
      <c r="C54" s="42" t="s">
        <v>100</v>
      </c>
      <c r="D54" s="42"/>
      <c r="E54" s="42" t="s">
        <v>101</v>
      </c>
      <c r="F54" s="42" t="s">
        <v>3</v>
      </c>
      <c r="G54" s="43" t="s">
        <v>89</v>
      </c>
      <c r="H54" s="54">
        <v>400</v>
      </c>
      <c r="I54" s="55">
        <f>ROUND(171.4,2)</f>
        <v>171.40000000000001</v>
      </c>
      <c r="J54" s="56">
        <f>ROUND(I54*H54,2)</f>
        <v>68560</v>
      </c>
      <c r="K54" s="57">
        <v>0.20999999999999999</v>
      </c>
      <c r="L54" s="58">
        <f>IF(ISNUMBER(K54),ROUND(J54*(K54+1),2),0)</f>
        <v>82957.600000000006</v>
      </c>
      <c r="M54" s="12"/>
      <c r="N54" s="2"/>
      <c r="O54" s="2"/>
      <c r="P54" s="2"/>
      <c r="Q54" s="33">
        <f>IF(ISNUMBER(K54),IF(H54&gt;0,IF(I54&gt;0,J54,0),0),0)</f>
        <v>68560</v>
      </c>
      <c r="R54" s="27">
        <f>IF(ISNUMBER(K54)=FALSE,J54,0)</f>
        <v>0</v>
      </c>
    </row>
    <row r="55">
      <c r="A55" s="9"/>
      <c r="B55" s="48" t="s">
        <v>44</v>
      </c>
      <c r="C55" s="1"/>
      <c r="D55" s="1"/>
      <c r="E55" s="49" t="s">
        <v>3</v>
      </c>
      <c r="F55" s="1"/>
      <c r="G55" s="1"/>
      <c r="H55" s="40"/>
      <c r="I55" s="1"/>
      <c r="J55" s="40"/>
      <c r="K55" s="1"/>
      <c r="L55" s="1"/>
      <c r="M55" s="12"/>
      <c r="N55" s="2"/>
      <c r="O55" s="2"/>
      <c r="P55" s="2"/>
      <c r="Q55" s="2"/>
    </row>
    <row r="56" thickBot="1" ht="13.5">
      <c r="A56" s="9"/>
      <c r="B56" s="50" t="s">
        <v>46</v>
      </c>
      <c r="C56" s="51"/>
      <c r="D56" s="51"/>
      <c r="E56" s="52" t="s">
        <v>102</v>
      </c>
      <c r="F56" s="51"/>
      <c r="G56" s="51"/>
      <c r="H56" s="53"/>
      <c r="I56" s="51"/>
      <c r="J56" s="53"/>
      <c r="K56" s="51"/>
      <c r="L56" s="51"/>
      <c r="M56" s="12"/>
      <c r="N56" s="2"/>
      <c r="O56" s="2"/>
      <c r="P56" s="2"/>
      <c r="Q56" s="2"/>
    </row>
    <row r="57" thickTop="1" ht="13.5">
      <c r="A57" s="9"/>
      <c r="B57" s="41">
        <v>10</v>
      </c>
      <c r="C57" s="42" t="s">
        <v>103</v>
      </c>
      <c r="D57" s="42"/>
      <c r="E57" s="42" t="s">
        <v>104</v>
      </c>
      <c r="F57" s="42" t="s">
        <v>3</v>
      </c>
      <c r="G57" s="43" t="s">
        <v>76</v>
      </c>
      <c r="H57" s="54">
        <v>120.48</v>
      </c>
      <c r="I57" s="55">
        <f>ROUND(686.18,2)</f>
        <v>686.17999999999995</v>
      </c>
      <c r="J57" s="56">
        <f>ROUND(I57*H57,2)</f>
        <v>82670.970000000001</v>
      </c>
      <c r="K57" s="57">
        <v>0.20999999999999999</v>
      </c>
      <c r="L57" s="58">
        <f>IF(ISNUMBER(K57),ROUND(J57*(K57+1),2),0)</f>
        <v>100031.87</v>
      </c>
      <c r="M57" s="12"/>
      <c r="N57" s="2"/>
      <c r="O57" s="2"/>
      <c r="P57" s="2"/>
      <c r="Q57" s="33">
        <f>IF(ISNUMBER(K57),IF(H57&gt;0,IF(I57&gt;0,J57,0),0),0)</f>
        <v>82670.970000000001</v>
      </c>
      <c r="R57" s="27">
        <f>IF(ISNUMBER(K57)=FALSE,J57,0)</f>
        <v>0</v>
      </c>
    </row>
    <row r="58">
      <c r="A58" s="9"/>
      <c r="B58" s="48" t="s">
        <v>44</v>
      </c>
      <c r="C58" s="1"/>
      <c r="D58" s="1"/>
      <c r="E58" s="49" t="s">
        <v>105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 thickBot="1" ht="13.5">
      <c r="A59" s="9"/>
      <c r="B59" s="50" t="s">
        <v>46</v>
      </c>
      <c r="C59" s="51"/>
      <c r="D59" s="51"/>
      <c r="E59" s="52" t="s">
        <v>106</v>
      </c>
      <c r="F59" s="51"/>
      <c r="G59" s="51"/>
      <c r="H59" s="53"/>
      <c r="I59" s="51"/>
      <c r="J59" s="53"/>
      <c r="K59" s="51"/>
      <c r="L59" s="51"/>
      <c r="M59" s="12"/>
      <c r="N59" s="2"/>
      <c r="O59" s="2"/>
      <c r="P59" s="2"/>
      <c r="Q59" s="2"/>
    </row>
    <row r="60" thickTop="1" thickBot="1" ht="25" customHeight="1">
      <c r="A60" s="9"/>
      <c r="B60" s="1"/>
      <c r="C60" s="59">
        <v>1</v>
      </c>
      <c r="D60" s="1"/>
      <c r="E60" s="60" t="s">
        <v>64</v>
      </c>
      <c r="F60" s="1"/>
      <c r="G60" s="61" t="s">
        <v>57</v>
      </c>
      <c r="H60" s="62">
        <f>J36+J39+J42+J45+J48+J51+J54+J57</f>
        <v>442967.14000000001</v>
      </c>
      <c r="I60" s="61" t="s">
        <v>58</v>
      </c>
      <c r="J60" s="63">
        <f>(L60-H60)</f>
        <v>93023.099999999977</v>
      </c>
      <c r="K60" s="61" t="s">
        <v>59</v>
      </c>
      <c r="L60" s="64">
        <f>L36+L39+L42+L45+L48+L51+L54+L57</f>
        <v>535990.23999999999</v>
      </c>
      <c r="M60" s="12"/>
      <c r="N60" s="2"/>
      <c r="O60" s="2"/>
      <c r="P60" s="2"/>
      <c r="Q60" s="33">
        <f>0+Q36+Q39+Q42+Q45+Q48+Q51+Q54+Q57</f>
        <v>442967.14000000001</v>
      </c>
      <c r="R60" s="27">
        <f>0+R36+R39+R42+R45+R48+R51+R54+R57</f>
        <v>0</v>
      </c>
      <c r="S60" s="65">
        <f>Q60*(1+J60)+R60</f>
        <v>41206619528.07399</v>
      </c>
    </row>
    <row r="61" thickTop="1" thickBot="1" ht="25" customHeight="1">
      <c r="A61" s="9"/>
      <c r="B61" s="66"/>
      <c r="C61" s="66"/>
      <c r="D61" s="66"/>
      <c r="E61" s="67"/>
      <c r="F61" s="66"/>
      <c r="G61" s="68" t="s">
        <v>60</v>
      </c>
      <c r="H61" s="69">
        <f>J36+J39+J42+J45+J48+J51+J54+J57</f>
        <v>442967.14000000001</v>
      </c>
      <c r="I61" s="68" t="s">
        <v>61</v>
      </c>
      <c r="J61" s="70">
        <f>0+J60</f>
        <v>93023.099999999977</v>
      </c>
      <c r="K61" s="68" t="s">
        <v>62</v>
      </c>
      <c r="L61" s="71">
        <f>L36+L39+L42+L45+L48+L51+L54+L57</f>
        <v>535990.23999999999</v>
      </c>
      <c r="M61" s="12"/>
      <c r="N61" s="2"/>
      <c r="O61" s="2"/>
      <c r="P61" s="2"/>
      <c r="Q61" s="2"/>
    </row>
    <row r="62" ht="40" customHeight="1">
      <c r="A62" s="9"/>
      <c r="B62" s="76" t="s">
        <v>107</v>
      </c>
      <c r="C62" s="1"/>
      <c r="D62" s="1"/>
      <c r="E62" s="1"/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1">
        <v>12</v>
      </c>
      <c r="C63" s="42" t="s">
        <v>108</v>
      </c>
      <c r="D63" s="42"/>
      <c r="E63" s="42" t="s">
        <v>109</v>
      </c>
      <c r="F63" s="42" t="s">
        <v>3</v>
      </c>
      <c r="G63" s="43" t="s">
        <v>76</v>
      </c>
      <c r="H63" s="44">
        <v>96.379999999999995</v>
      </c>
      <c r="I63" s="25">
        <f>ROUND(1081.04,2)</f>
        <v>1081.04</v>
      </c>
      <c r="J63" s="45">
        <f>ROUND(I63*H63,2)</f>
        <v>104190.64</v>
      </c>
      <c r="K63" s="46">
        <v>0.20999999999999999</v>
      </c>
      <c r="L63" s="47">
        <f>IF(ISNUMBER(K63),ROUND(J63*(K63+1),2),0)</f>
        <v>126070.67</v>
      </c>
      <c r="M63" s="12"/>
      <c r="N63" s="2"/>
      <c r="O63" s="2"/>
      <c r="P63" s="2"/>
      <c r="Q63" s="33">
        <f>IF(ISNUMBER(K63),IF(H63&gt;0,IF(I63&gt;0,J63,0),0),0)</f>
        <v>104190.64</v>
      </c>
      <c r="R63" s="27">
        <f>IF(ISNUMBER(K63)=FALSE,J63,0)</f>
        <v>0</v>
      </c>
    </row>
    <row r="64">
      <c r="A64" s="9"/>
      <c r="B64" s="48" t="s">
        <v>44</v>
      </c>
      <c r="C64" s="1"/>
      <c r="D64" s="1"/>
      <c r="E64" s="49" t="s">
        <v>110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 thickBot="1" ht="13.5">
      <c r="A65" s="9"/>
      <c r="B65" s="50" t="s">
        <v>46</v>
      </c>
      <c r="C65" s="51"/>
      <c r="D65" s="51"/>
      <c r="E65" s="52" t="s">
        <v>111</v>
      </c>
      <c r="F65" s="51"/>
      <c r="G65" s="51"/>
      <c r="H65" s="53"/>
      <c r="I65" s="51"/>
      <c r="J65" s="53"/>
      <c r="K65" s="51"/>
      <c r="L65" s="51"/>
      <c r="M65" s="12"/>
      <c r="N65" s="2"/>
      <c r="O65" s="2"/>
      <c r="P65" s="2"/>
      <c r="Q65" s="2"/>
    </row>
    <row r="66" thickTop="1" ht="13.5">
      <c r="A66" s="9"/>
      <c r="B66" s="41">
        <v>13</v>
      </c>
      <c r="C66" s="42" t="s">
        <v>112</v>
      </c>
      <c r="D66" s="42"/>
      <c r="E66" s="42" t="s">
        <v>113</v>
      </c>
      <c r="F66" s="42" t="s">
        <v>3</v>
      </c>
      <c r="G66" s="43" t="s">
        <v>98</v>
      </c>
      <c r="H66" s="54">
        <v>4819.1999999999998</v>
      </c>
      <c r="I66" s="55">
        <f>ROUND(17.22,2)</f>
        <v>17.219999999999999</v>
      </c>
      <c r="J66" s="56">
        <f>ROUND(I66*H66,2)</f>
        <v>82986.619999999995</v>
      </c>
      <c r="K66" s="57">
        <v>0.20999999999999999</v>
      </c>
      <c r="L66" s="58">
        <f>IF(ISNUMBER(K66),ROUND(J66*(K66+1),2),0)</f>
        <v>100413.81</v>
      </c>
      <c r="M66" s="12"/>
      <c r="N66" s="2"/>
      <c r="O66" s="2"/>
      <c r="P66" s="2"/>
      <c r="Q66" s="33">
        <f>IF(ISNUMBER(K66),IF(H66&gt;0,IF(I66&gt;0,J66,0),0),0)</f>
        <v>82986.619999999995</v>
      </c>
      <c r="R66" s="27">
        <f>IF(ISNUMBER(K66)=FALSE,J66,0)</f>
        <v>0</v>
      </c>
    </row>
    <row r="67">
      <c r="A67" s="9"/>
      <c r="B67" s="48" t="s">
        <v>44</v>
      </c>
      <c r="C67" s="1"/>
      <c r="D67" s="1"/>
      <c r="E67" s="49" t="s">
        <v>114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 thickBot="1" ht="13.5">
      <c r="A68" s="9"/>
      <c r="B68" s="50" t="s">
        <v>46</v>
      </c>
      <c r="C68" s="51"/>
      <c r="D68" s="51"/>
      <c r="E68" s="52" t="s">
        <v>115</v>
      </c>
      <c r="F68" s="51"/>
      <c r="G68" s="51"/>
      <c r="H68" s="53"/>
      <c r="I68" s="51"/>
      <c r="J68" s="53"/>
      <c r="K68" s="51"/>
      <c r="L68" s="51"/>
      <c r="M68" s="12"/>
      <c r="N68" s="2"/>
      <c r="O68" s="2"/>
      <c r="P68" s="2"/>
      <c r="Q68" s="2"/>
    </row>
    <row r="69" thickTop="1" ht="13.5">
      <c r="A69" s="9"/>
      <c r="B69" s="41">
        <v>10001</v>
      </c>
      <c r="C69" s="42" t="s">
        <v>116</v>
      </c>
      <c r="D69" s="42"/>
      <c r="E69" s="42" t="s">
        <v>117</v>
      </c>
      <c r="F69" s="42" t="s">
        <v>3</v>
      </c>
      <c r="G69" s="43" t="s">
        <v>76</v>
      </c>
      <c r="H69" s="54">
        <v>481.92000000000002</v>
      </c>
      <c r="I69" s="55">
        <f>ROUND(2560.67,2)</f>
        <v>2560.6700000000001</v>
      </c>
      <c r="J69" s="56">
        <f>ROUND(I69*H69,2)</f>
        <v>1234038.0900000001</v>
      </c>
      <c r="K69" s="57">
        <v>0.20999999999999999</v>
      </c>
      <c r="L69" s="58">
        <f>IF(ISNUMBER(K69),ROUND(J69*(K69+1),2),0)</f>
        <v>1493186.0900000001</v>
      </c>
      <c r="M69" s="12"/>
      <c r="N69" s="2"/>
      <c r="O69" s="2"/>
      <c r="P69" s="2"/>
      <c r="Q69" s="33">
        <f>IF(ISNUMBER(K69),IF(H69&gt;0,IF(I69&gt;0,J69,0),0),0)</f>
        <v>1234038.0900000001</v>
      </c>
      <c r="R69" s="27">
        <f>IF(ISNUMBER(K69)=FALSE,J69,0)</f>
        <v>0</v>
      </c>
    </row>
    <row r="70">
      <c r="A70" s="9"/>
      <c r="B70" s="48" t="s">
        <v>44</v>
      </c>
      <c r="C70" s="1"/>
      <c r="D70" s="1"/>
      <c r="E70" s="49" t="s">
        <v>118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 thickBot="1" ht="13.5">
      <c r="A71" s="9"/>
      <c r="B71" s="50" t="s">
        <v>46</v>
      </c>
      <c r="C71" s="51"/>
      <c r="D71" s="51"/>
      <c r="E71" s="52" t="s">
        <v>119</v>
      </c>
      <c r="F71" s="51"/>
      <c r="G71" s="51"/>
      <c r="H71" s="53"/>
      <c r="I71" s="51"/>
      <c r="J71" s="53"/>
      <c r="K71" s="51"/>
      <c r="L71" s="51"/>
      <c r="M71" s="12"/>
      <c r="N71" s="2"/>
      <c r="O71" s="2"/>
      <c r="P71" s="2"/>
      <c r="Q71" s="2"/>
    </row>
    <row r="72" thickTop="1" ht="13.5">
      <c r="A72" s="9"/>
      <c r="B72" s="41">
        <v>10013</v>
      </c>
      <c r="C72" s="42" t="s">
        <v>120</v>
      </c>
      <c r="D72" s="42"/>
      <c r="E72" s="42" t="s">
        <v>121</v>
      </c>
      <c r="F72" s="42" t="s">
        <v>3</v>
      </c>
      <c r="G72" s="43" t="s">
        <v>98</v>
      </c>
      <c r="H72" s="54">
        <v>2409.5999999999999</v>
      </c>
      <c r="I72" s="55">
        <f>ROUND(25.37,2)</f>
        <v>25.370000000000001</v>
      </c>
      <c r="J72" s="56">
        <f>ROUND(I72*H72,2)</f>
        <v>61131.550000000003</v>
      </c>
      <c r="K72" s="57">
        <v>0.20999999999999999</v>
      </c>
      <c r="L72" s="58">
        <f>IF(ISNUMBER(K72),ROUND(J72*(K72+1),2),0)</f>
        <v>73969.179999999993</v>
      </c>
      <c r="M72" s="12"/>
      <c r="N72" s="2"/>
      <c r="O72" s="2"/>
      <c r="P72" s="2"/>
      <c r="Q72" s="33">
        <f>IF(ISNUMBER(K72),IF(H72&gt;0,IF(I72&gt;0,J72,0),0),0)</f>
        <v>61131.550000000003</v>
      </c>
      <c r="R72" s="27">
        <f>IF(ISNUMBER(K72)=FALSE,J72,0)</f>
        <v>0</v>
      </c>
    </row>
    <row r="73">
      <c r="A73" s="9"/>
      <c r="B73" s="48" t="s">
        <v>44</v>
      </c>
      <c r="C73" s="1"/>
      <c r="D73" s="1"/>
      <c r="E73" s="49" t="s">
        <v>122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 thickBot="1" ht="13.5">
      <c r="A74" s="9"/>
      <c r="B74" s="50" t="s">
        <v>46</v>
      </c>
      <c r="C74" s="51"/>
      <c r="D74" s="51"/>
      <c r="E74" s="52" t="s">
        <v>123</v>
      </c>
      <c r="F74" s="51"/>
      <c r="G74" s="51"/>
      <c r="H74" s="53"/>
      <c r="I74" s="51"/>
      <c r="J74" s="53"/>
      <c r="K74" s="51"/>
      <c r="L74" s="51"/>
      <c r="M74" s="12"/>
      <c r="N74" s="2"/>
      <c r="O74" s="2"/>
      <c r="P74" s="2"/>
      <c r="Q74" s="2"/>
    </row>
    <row r="75" thickTop="1" ht="13.5">
      <c r="A75" s="9"/>
      <c r="B75" s="41">
        <v>10014</v>
      </c>
      <c r="C75" s="42" t="s">
        <v>124</v>
      </c>
      <c r="D75" s="42"/>
      <c r="E75" s="42" t="s">
        <v>125</v>
      </c>
      <c r="F75" s="42" t="s">
        <v>3</v>
      </c>
      <c r="G75" s="43" t="s">
        <v>76</v>
      </c>
      <c r="H75" s="54">
        <v>6.04</v>
      </c>
      <c r="I75" s="55">
        <f>ROUND(1130.24,2)</f>
        <v>1130.24</v>
      </c>
      <c r="J75" s="56">
        <f>ROUND(I75*H75,2)</f>
        <v>6826.6499999999996</v>
      </c>
      <c r="K75" s="57">
        <v>0.20999999999999999</v>
      </c>
      <c r="L75" s="58">
        <f>IF(ISNUMBER(K75),ROUND(J75*(K75+1),2),0)</f>
        <v>8260.25</v>
      </c>
      <c r="M75" s="12"/>
      <c r="N75" s="2"/>
      <c r="O75" s="2"/>
      <c r="P75" s="2"/>
      <c r="Q75" s="33">
        <f>IF(ISNUMBER(K75),IF(H75&gt;0,IF(I75&gt;0,J75,0),0),0)</f>
        <v>6826.6499999999996</v>
      </c>
      <c r="R75" s="27">
        <f>IF(ISNUMBER(K75)=FALSE,J75,0)</f>
        <v>0</v>
      </c>
    </row>
    <row r="76">
      <c r="A76" s="9"/>
      <c r="B76" s="48" t="s">
        <v>44</v>
      </c>
      <c r="C76" s="1"/>
      <c r="D76" s="1"/>
      <c r="E76" s="49" t="s">
        <v>126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 thickBot="1" ht="13.5">
      <c r="A77" s="9"/>
      <c r="B77" s="50" t="s">
        <v>46</v>
      </c>
      <c r="C77" s="51"/>
      <c r="D77" s="51"/>
      <c r="E77" s="52" t="s">
        <v>127</v>
      </c>
      <c r="F77" s="51"/>
      <c r="G77" s="51"/>
      <c r="H77" s="53"/>
      <c r="I77" s="51"/>
      <c r="J77" s="53"/>
      <c r="K77" s="51"/>
      <c r="L77" s="51"/>
      <c r="M77" s="12"/>
      <c r="N77" s="2"/>
      <c r="O77" s="2"/>
      <c r="P77" s="2"/>
      <c r="Q77" s="2"/>
    </row>
    <row r="78" thickTop="1" ht="13.5">
      <c r="A78" s="9"/>
      <c r="B78" s="41">
        <v>10015</v>
      </c>
      <c r="C78" s="42" t="s">
        <v>128</v>
      </c>
      <c r="D78" s="42"/>
      <c r="E78" s="42" t="s">
        <v>129</v>
      </c>
      <c r="F78" s="42" t="s">
        <v>3</v>
      </c>
      <c r="G78" s="43" t="s">
        <v>76</v>
      </c>
      <c r="H78" s="54">
        <v>42.850000000000001</v>
      </c>
      <c r="I78" s="55">
        <f>ROUND(1335.35,2)</f>
        <v>1335.3499999999999</v>
      </c>
      <c r="J78" s="56">
        <f>ROUND(I78*H78,2)</f>
        <v>57219.75</v>
      </c>
      <c r="K78" s="57">
        <v>0.20999999999999999</v>
      </c>
      <c r="L78" s="58">
        <f>IF(ISNUMBER(K78),ROUND(J78*(K78+1),2),0)</f>
        <v>69235.899999999994</v>
      </c>
      <c r="M78" s="12"/>
      <c r="N78" s="2"/>
      <c r="O78" s="2"/>
      <c r="P78" s="2"/>
      <c r="Q78" s="33">
        <f>IF(ISNUMBER(K78),IF(H78&gt;0,IF(I78&gt;0,J78,0),0),0)</f>
        <v>57219.75</v>
      </c>
      <c r="R78" s="27">
        <f>IF(ISNUMBER(K78)=FALSE,J78,0)</f>
        <v>0</v>
      </c>
    </row>
    <row r="79">
      <c r="A79" s="9"/>
      <c r="B79" s="48" t="s">
        <v>44</v>
      </c>
      <c r="C79" s="1"/>
      <c r="D79" s="1"/>
      <c r="E79" s="49" t="s">
        <v>130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 thickBot="1" ht="13.5">
      <c r="A80" s="9"/>
      <c r="B80" s="50" t="s">
        <v>46</v>
      </c>
      <c r="C80" s="51"/>
      <c r="D80" s="51"/>
      <c r="E80" s="52" t="s">
        <v>131</v>
      </c>
      <c r="F80" s="51"/>
      <c r="G80" s="51"/>
      <c r="H80" s="53"/>
      <c r="I80" s="51"/>
      <c r="J80" s="53"/>
      <c r="K80" s="51"/>
      <c r="L80" s="51"/>
      <c r="M80" s="12"/>
      <c r="N80" s="2"/>
      <c r="O80" s="2"/>
      <c r="P80" s="2"/>
      <c r="Q80" s="2"/>
    </row>
    <row r="81" thickTop="1" ht="13.5">
      <c r="A81" s="9"/>
      <c r="B81" s="41">
        <v>10016</v>
      </c>
      <c r="C81" s="42" t="s">
        <v>132</v>
      </c>
      <c r="D81" s="42"/>
      <c r="E81" s="42" t="s">
        <v>133</v>
      </c>
      <c r="F81" s="42" t="s">
        <v>3</v>
      </c>
      <c r="G81" s="43" t="s">
        <v>76</v>
      </c>
      <c r="H81" s="54">
        <v>96.384</v>
      </c>
      <c r="I81" s="55">
        <f>ROUND(9100.4,2)</f>
        <v>9100.3999999999996</v>
      </c>
      <c r="J81" s="56">
        <f>ROUND(I81*H81,2)</f>
        <v>877132.94999999995</v>
      </c>
      <c r="K81" s="57">
        <v>0.20999999999999999</v>
      </c>
      <c r="L81" s="58">
        <f>IF(ISNUMBER(K81),ROUND(J81*(K81+1),2),0)</f>
        <v>1061330.8700000001</v>
      </c>
      <c r="M81" s="12"/>
      <c r="N81" s="2"/>
      <c r="O81" s="2"/>
      <c r="P81" s="2"/>
      <c r="Q81" s="33">
        <f>IF(ISNUMBER(K81),IF(H81&gt;0,IF(I81&gt;0,J81,0),0),0)</f>
        <v>877132.94999999995</v>
      </c>
      <c r="R81" s="27">
        <f>IF(ISNUMBER(K81)=FALSE,J81,0)</f>
        <v>0</v>
      </c>
    </row>
    <row r="82">
      <c r="A82" s="9"/>
      <c r="B82" s="48" t="s">
        <v>44</v>
      </c>
      <c r="C82" s="1"/>
      <c r="D82" s="1"/>
      <c r="E82" s="49" t="s">
        <v>134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 thickBot="1" ht="13.5">
      <c r="A83" s="9"/>
      <c r="B83" s="50" t="s">
        <v>46</v>
      </c>
      <c r="C83" s="51"/>
      <c r="D83" s="51"/>
      <c r="E83" s="52" t="s">
        <v>135</v>
      </c>
      <c r="F83" s="51"/>
      <c r="G83" s="51"/>
      <c r="H83" s="53"/>
      <c r="I83" s="51"/>
      <c r="J83" s="53"/>
      <c r="K83" s="51"/>
      <c r="L83" s="51"/>
      <c r="M83" s="12"/>
      <c r="N83" s="2"/>
      <c r="O83" s="2"/>
      <c r="P83" s="2"/>
      <c r="Q83" s="2"/>
    </row>
    <row r="84" thickTop="1" ht="13.5">
      <c r="A84" s="9"/>
      <c r="B84" s="41">
        <v>10017</v>
      </c>
      <c r="C84" s="42" t="s">
        <v>136</v>
      </c>
      <c r="D84" s="42"/>
      <c r="E84" s="42" t="s">
        <v>137</v>
      </c>
      <c r="F84" s="42" t="s">
        <v>3</v>
      </c>
      <c r="G84" s="43" t="s">
        <v>76</v>
      </c>
      <c r="H84" s="54">
        <v>144.57599999999999</v>
      </c>
      <c r="I84" s="55">
        <f>ROUND(7915.17,2)</f>
        <v>7915.1700000000001</v>
      </c>
      <c r="J84" s="56">
        <f>ROUND(I84*H84,2)</f>
        <v>1144343.6200000001</v>
      </c>
      <c r="K84" s="57">
        <v>0.20999999999999999</v>
      </c>
      <c r="L84" s="58">
        <f>IF(ISNUMBER(K84),ROUND(J84*(K84+1),2),0)</f>
        <v>1384655.78</v>
      </c>
      <c r="M84" s="12"/>
      <c r="N84" s="2"/>
      <c r="O84" s="2"/>
      <c r="P84" s="2"/>
      <c r="Q84" s="33">
        <f>IF(ISNUMBER(K84),IF(H84&gt;0,IF(I84&gt;0,J84,0),0),0)</f>
        <v>1144343.6200000001</v>
      </c>
      <c r="R84" s="27">
        <f>IF(ISNUMBER(K84)=FALSE,J84,0)</f>
        <v>0</v>
      </c>
    </row>
    <row r="85">
      <c r="A85" s="9"/>
      <c r="B85" s="48" t="s">
        <v>44</v>
      </c>
      <c r="C85" s="1"/>
      <c r="D85" s="1"/>
      <c r="E85" s="49" t="s">
        <v>138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 thickBot="1" ht="13.5">
      <c r="A86" s="9"/>
      <c r="B86" s="50" t="s">
        <v>46</v>
      </c>
      <c r="C86" s="51"/>
      <c r="D86" s="51"/>
      <c r="E86" s="52" t="s">
        <v>139</v>
      </c>
      <c r="F86" s="51"/>
      <c r="G86" s="51"/>
      <c r="H86" s="53"/>
      <c r="I86" s="51"/>
      <c r="J86" s="53"/>
      <c r="K86" s="51"/>
      <c r="L86" s="51"/>
      <c r="M86" s="12"/>
      <c r="N86" s="2"/>
      <c r="O86" s="2"/>
      <c r="P86" s="2"/>
      <c r="Q86" s="2"/>
    </row>
    <row r="87" thickTop="1" ht="13.5">
      <c r="A87" s="9"/>
      <c r="B87" s="41">
        <v>10023</v>
      </c>
      <c r="C87" s="42" t="s">
        <v>140</v>
      </c>
      <c r="D87" s="42" t="s">
        <v>3</v>
      </c>
      <c r="E87" s="42" t="s">
        <v>141</v>
      </c>
      <c r="F87" s="42" t="s">
        <v>3</v>
      </c>
      <c r="G87" s="43" t="s">
        <v>76</v>
      </c>
      <c r="H87" s="54">
        <v>72.287999999999997</v>
      </c>
      <c r="I87" s="55">
        <f>ROUND(7158.6,2)</f>
        <v>7158.6000000000004</v>
      </c>
      <c r="J87" s="56">
        <f>ROUND(I87*H87,2)</f>
        <v>517480.88</v>
      </c>
      <c r="K87" s="57">
        <v>0.20999999999999999</v>
      </c>
      <c r="L87" s="58">
        <f>IF(ISNUMBER(K87),ROUND(J87*(K87+1),2),0)</f>
        <v>626151.85999999999</v>
      </c>
      <c r="M87" s="12"/>
      <c r="N87" s="2"/>
      <c r="O87" s="2"/>
      <c r="P87" s="2"/>
      <c r="Q87" s="33">
        <f>IF(ISNUMBER(K87),IF(H87&gt;0,IF(I87&gt;0,J87,0),0),0)</f>
        <v>517480.88</v>
      </c>
      <c r="R87" s="27">
        <f>IF(ISNUMBER(K87)=FALSE,J87,0)</f>
        <v>0</v>
      </c>
    </row>
    <row r="88">
      <c r="A88" s="9"/>
      <c r="B88" s="48" t="s">
        <v>44</v>
      </c>
      <c r="C88" s="1"/>
      <c r="D88" s="1"/>
      <c r="E88" s="49" t="s">
        <v>142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 thickBot="1" ht="13.5">
      <c r="A89" s="9"/>
      <c r="B89" s="50" t="s">
        <v>46</v>
      </c>
      <c r="C89" s="51"/>
      <c r="D89" s="51"/>
      <c r="E89" s="52" t="s">
        <v>143</v>
      </c>
      <c r="F89" s="51"/>
      <c r="G89" s="51"/>
      <c r="H89" s="53"/>
      <c r="I89" s="51"/>
      <c r="J89" s="53"/>
      <c r="K89" s="51"/>
      <c r="L89" s="51"/>
      <c r="M89" s="12"/>
      <c r="N89" s="2"/>
      <c r="O89" s="2"/>
      <c r="P89" s="2"/>
      <c r="Q89" s="2"/>
    </row>
    <row r="90" thickTop="1" thickBot="1" ht="25" customHeight="1">
      <c r="A90" s="9"/>
      <c r="B90" s="1"/>
      <c r="C90" s="59">
        <v>5</v>
      </c>
      <c r="D90" s="1"/>
      <c r="E90" s="60" t="s">
        <v>65</v>
      </c>
      <c r="F90" s="1"/>
      <c r="G90" s="61" t="s">
        <v>57</v>
      </c>
      <c r="H90" s="62">
        <f>J63+J66+J69+J72+J75+J78+J81+J84+J87</f>
        <v>4085350.75</v>
      </c>
      <c r="I90" s="61" t="s">
        <v>58</v>
      </c>
      <c r="J90" s="63">
        <f>(L90-H90)</f>
        <v>857923.66000000015</v>
      </c>
      <c r="K90" s="61" t="s">
        <v>59</v>
      </c>
      <c r="L90" s="64">
        <f>L63+L66+L69+L72+L75+L78+L81+L84+L87</f>
        <v>4943274.4100000001</v>
      </c>
      <c r="M90" s="12"/>
      <c r="N90" s="2"/>
      <c r="O90" s="2"/>
      <c r="P90" s="2"/>
      <c r="Q90" s="33">
        <f>0+Q63+Q66+Q69+Q72+Q75+Q78+Q81+Q84+Q87</f>
        <v>4085350.75</v>
      </c>
      <c r="R90" s="27">
        <f>0+R63+R66+R69+R72+R75+R78+R81+R84+R87</f>
        <v>0</v>
      </c>
      <c r="S90" s="65">
        <f>Q90*(1+J90)+R90</f>
        <v>3504923153174.4956</v>
      </c>
    </row>
    <row r="91" thickTop="1" thickBot="1" ht="25" customHeight="1">
      <c r="A91" s="9"/>
      <c r="B91" s="66"/>
      <c r="C91" s="66"/>
      <c r="D91" s="66"/>
      <c r="E91" s="67"/>
      <c r="F91" s="66"/>
      <c r="G91" s="68" t="s">
        <v>60</v>
      </c>
      <c r="H91" s="69">
        <f>J63+J66+J69+J72+J75+J78+J81+J84+J87</f>
        <v>4085350.75</v>
      </c>
      <c r="I91" s="68" t="s">
        <v>61</v>
      </c>
      <c r="J91" s="70">
        <f>0+J90</f>
        <v>857923.66000000015</v>
      </c>
      <c r="K91" s="68" t="s">
        <v>62</v>
      </c>
      <c r="L91" s="71">
        <f>L63+L66+L69+L72+L75+L78+L81+L84+L87</f>
        <v>4943274.4100000001</v>
      </c>
      <c r="M91" s="12"/>
      <c r="N91" s="2"/>
      <c r="O91" s="2"/>
      <c r="P91" s="2"/>
      <c r="Q91" s="2"/>
    </row>
    <row r="92" ht="40" customHeight="1">
      <c r="A92" s="9"/>
      <c r="B92" s="76" t="s">
        <v>144</v>
      </c>
      <c r="C92" s="1"/>
      <c r="D92" s="1"/>
      <c r="E92" s="1"/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>
      <c r="A93" s="9"/>
      <c r="B93" s="41">
        <v>10002</v>
      </c>
      <c r="C93" s="42" t="s">
        <v>145</v>
      </c>
      <c r="D93" s="42"/>
      <c r="E93" s="42" t="s">
        <v>146</v>
      </c>
      <c r="F93" s="42" t="s">
        <v>3</v>
      </c>
      <c r="G93" s="43" t="s">
        <v>147</v>
      </c>
      <c r="H93" s="44">
        <v>3</v>
      </c>
      <c r="I93" s="25">
        <f>ROUND(2268.84,2)</f>
        <v>2268.8400000000001</v>
      </c>
      <c r="J93" s="45">
        <f>ROUND(I93*H93,2)</f>
        <v>6806.5200000000004</v>
      </c>
      <c r="K93" s="46">
        <v>0.20999999999999999</v>
      </c>
      <c r="L93" s="47">
        <f>IF(ISNUMBER(K93),ROUND(J93*(K93+1),2),0)</f>
        <v>8235.8899999999994</v>
      </c>
      <c r="M93" s="12"/>
      <c r="N93" s="2"/>
      <c r="O93" s="2"/>
      <c r="P93" s="2"/>
      <c r="Q93" s="33">
        <f>IF(ISNUMBER(K93),IF(H93&gt;0,IF(I93&gt;0,J93,0),0),0)</f>
        <v>6806.5200000000004</v>
      </c>
      <c r="R93" s="27">
        <f>IF(ISNUMBER(K93)=FALSE,J93,0)</f>
        <v>0</v>
      </c>
    </row>
    <row r="94">
      <c r="A94" s="9"/>
      <c r="B94" s="48" t="s">
        <v>44</v>
      </c>
      <c r="C94" s="1"/>
      <c r="D94" s="1"/>
      <c r="E94" s="49" t="s">
        <v>3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 thickBot="1" ht="13.5">
      <c r="A95" s="9"/>
      <c r="B95" s="50" t="s">
        <v>46</v>
      </c>
      <c r="C95" s="51"/>
      <c r="D95" s="51"/>
      <c r="E95" s="52" t="s">
        <v>148</v>
      </c>
      <c r="F95" s="51"/>
      <c r="G95" s="51"/>
      <c r="H95" s="53"/>
      <c r="I95" s="51"/>
      <c r="J95" s="53"/>
      <c r="K95" s="51"/>
      <c r="L95" s="51"/>
      <c r="M95" s="12"/>
      <c r="N95" s="2"/>
      <c r="O95" s="2"/>
      <c r="P95" s="2"/>
      <c r="Q95" s="2"/>
    </row>
    <row r="96" thickTop="1" thickBot="1" ht="25" customHeight="1">
      <c r="A96" s="9"/>
      <c r="B96" s="1"/>
      <c r="C96" s="59">
        <v>8</v>
      </c>
      <c r="D96" s="1"/>
      <c r="E96" s="60" t="s">
        <v>66</v>
      </c>
      <c r="F96" s="1"/>
      <c r="G96" s="61" t="s">
        <v>57</v>
      </c>
      <c r="H96" s="62">
        <f>0+J93</f>
        <v>6806.5200000000004</v>
      </c>
      <c r="I96" s="61" t="s">
        <v>58</v>
      </c>
      <c r="J96" s="63">
        <f>(L96-H96)</f>
        <v>1429.369999999999</v>
      </c>
      <c r="K96" s="61" t="s">
        <v>59</v>
      </c>
      <c r="L96" s="64">
        <f>0+L93</f>
        <v>8235.8899999999994</v>
      </c>
      <c r="M96" s="12"/>
      <c r="N96" s="2"/>
      <c r="O96" s="2"/>
      <c r="P96" s="2"/>
      <c r="Q96" s="33">
        <f>0+Q93</f>
        <v>6806.5200000000004</v>
      </c>
      <c r="R96" s="27">
        <f>0+R93</f>
        <v>0</v>
      </c>
      <c r="S96" s="65">
        <f>Q96*(1+J96)+R96</f>
        <v>9735842.0123999938</v>
      </c>
    </row>
    <row r="97" thickTop="1" thickBot="1" ht="25" customHeight="1">
      <c r="A97" s="9"/>
      <c r="B97" s="66"/>
      <c r="C97" s="66"/>
      <c r="D97" s="66"/>
      <c r="E97" s="67"/>
      <c r="F97" s="66"/>
      <c r="G97" s="68" t="s">
        <v>60</v>
      </c>
      <c r="H97" s="69">
        <f>0+J93</f>
        <v>6806.5200000000004</v>
      </c>
      <c r="I97" s="68" t="s">
        <v>61</v>
      </c>
      <c r="J97" s="70">
        <f>0+J96</f>
        <v>1429.369999999999</v>
      </c>
      <c r="K97" s="68" t="s">
        <v>62</v>
      </c>
      <c r="L97" s="71">
        <f>0+L93</f>
        <v>8235.8899999999994</v>
      </c>
      <c r="M97" s="12"/>
      <c r="N97" s="2"/>
      <c r="O97" s="2"/>
      <c r="P97" s="2"/>
      <c r="Q97" s="2"/>
    </row>
    <row r="98" ht="40" customHeight="1">
      <c r="A98" s="9"/>
      <c r="B98" s="76" t="s">
        <v>149</v>
      </c>
      <c r="C98" s="1"/>
      <c r="D98" s="1"/>
      <c r="E98" s="1"/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>
      <c r="A99" s="9"/>
      <c r="B99" s="41">
        <v>22</v>
      </c>
      <c r="C99" s="42" t="s">
        <v>150</v>
      </c>
      <c r="D99" s="42"/>
      <c r="E99" s="42" t="s">
        <v>151</v>
      </c>
      <c r="F99" s="42" t="s">
        <v>3</v>
      </c>
      <c r="G99" s="43" t="s">
        <v>89</v>
      </c>
      <c r="H99" s="44">
        <v>40.5</v>
      </c>
      <c r="I99" s="25">
        <f>ROUND(148.49,2)</f>
        <v>148.49000000000001</v>
      </c>
      <c r="J99" s="45">
        <f>ROUND(I99*H99,2)</f>
        <v>6013.8500000000004</v>
      </c>
      <c r="K99" s="46">
        <v>0.20999999999999999</v>
      </c>
      <c r="L99" s="47">
        <f>IF(ISNUMBER(K99),ROUND(J99*(K99+1),2),0)</f>
        <v>7276.7600000000002</v>
      </c>
      <c r="M99" s="12"/>
      <c r="N99" s="2"/>
      <c r="O99" s="2"/>
      <c r="P99" s="2"/>
      <c r="Q99" s="33">
        <f>IF(ISNUMBER(K99),IF(H99&gt;0,IF(I99&gt;0,J99,0),0),0)</f>
        <v>6013.8500000000004</v>
      </c>
      <c r="R99" s="27">
        <f>IF(ISNUMBER(K99)=FALSE,J99,0)</f>
        <v>0</v>
      </c>
    </row>
    <row r="100">
      <c r="A100" s="9"/>
      <c r="B100" s="48" t="s">
        <v>44</v>
      </c>
      <c r="C100" s="1"/>
      <c r="D100" s="1"/>
      <c r="E100" s="49" t="s">
        <v>152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 thickBot="1" ht="51.75">
      <c r="A101" s="9"/>
      <c r="B101" s="50" t="s">
        <v>46</v>
      </c>
      <c r="C101" s="51"/>
      <c r="D101" s="51"/>
      <c r="E101" s="52" t="s">
        <v>91</v>
      </c>
      <c r="F101" s="51"/>
      <c r="G101" s="51"/>
      <c r="H101" s="53"/>
      <c r="I101" s="51"/>
      <c r="J101" s="53"/>
      <c r="K101" s="51"/>
      <c r="L101" s="51"/>
      <c r="M101" s="12"/>
      <c r="N101" s="2"/>
      <c r="O101" s="2"/>
      <c r="P101" s="2"/>
      <c r="Q101" s="2"/>
    </row>
    <row r="102" thickTop="1" ht="13.5">
      <c r="A102" s="9"/>
      <c r="B102" s="41">
        <v>10018</v>
      </c>
      <c r="C102" s="42" t="s">
        <v>153</v>
      </c>
      <c r="D102" s="42"/>
      <c r="E102" s="42" t="s">
        <v>154</v>
      </c>
      <c r="F102" s="42" t="s">
        <v>3</v>
      </c>
      <c r="G102" s="43" t="s">
        <v>147</v>
      </c>
      <c r="H102" s="54">
        <v>4</v>
      </c>
      <c r="I102" s="55">
        <f>ROUND(2132.86,2)</f>
        <v>2132.8600000000001</v>
      </c>
      <c r="J102" s="56">
        <f>ROUND(I102*H102,2)</f>
        <v>8531.4400000000005</v>
      </c>
      <c r="K102" s="57">
        <v>0.20999999999999999</v>
      </c>
      <c r="L102" s="58">
        <f>IF(ISNUMBER(K102),ROUND(J102*(K102+1),2),0)</f>
        <v>10323.040000000001</v>
      </c>
      <c r="M102" s="12"/>
      <c r="N102" s="2"/>
      <c r="O102" s="2"/>
      <c r="P102" s="2"/>
      <c r="Q102" s="33">
        <f>IF(ISNUMBER(K102),IF(H102&gt;0,IF(I102&gt;0,J102,0),0),0)</f>
        <v>8531.4400000000005</v>
      </c>
      <c r="R102" s="27">
        <f>IF(ISNUMBER(K102)=FALSE,J102,0)</f>
        <v>0</v>
      </c>
    </row>
    <row r="103">
      <c r="A103" s="9"/>
      <c r="B103" s="48" t="s">
        <v>44</v>
      </c>
      <c r="C103" s="1"/>
      <c r="D103" s="1"/>
      <c r="E103" s="49" t="s">
        <v>3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 thickBot="1" ht="64.5">
      <c r="A104" s="9"/>
      <c r="B104" s="50" t="s">
        <v>46</v>
      </c>
      <c r="C104" s="51"/>
      <c r="D104" s="51"/>
      <c r="E104" s="52" t="s">
        <v>155</v>
      </c>
      <c r="F104" s="51"/>
      <c r="G104" s="51"/>
      <c r="H104" s="53"/>
      <c r="I104" s="51"/>
      <c r="J104" s="53"/>
      <c r="K104" s="51"/>
      <c r="L104" s="51"/>
      <c r="M104" s="12"/>
      <c r="N104" s="2"/>
      <c r="O104" s="2"/>
      <c r="P104" s="2"/>
      <c r="Q104" s="2"/>
    </row>
    <row r="105" thickTop="1" ht="13.5">
      <c r="A105" s="9"/>
      <c r="B105" s="41">
        <v>10019</v>
      </c>
      <c r="C105" s="42" t="s">
        <v>156</v>
      </c>
      <c r="D105" s="42"/>
      <c r="E105" s="42" t="s">
        <v>157</v>
      </c>
      <c r="F105" s="42" t="s">
        <v>3</v>
      </c>
      <c r="G105" s="43" t="s">
        <v>147</v>
      </c>
      <c r="H105" s="54">
        <v>4</v>
      </c>
      <c r="I105" s="55">
        <f>ROUND(217.54,2)</f>
        <v>217.53999999999999</v>
      </c>
      <c r="J105" s="56">
        <f>ROUND(I105*H105,2)</f>
        <v>870.15999999999997</v>
      </c>
      <c r="K105" s="57">
        <v>0.20999999999999999</v>
      </c>
      <c r="L105" s="58">
        <f>IF(ISNUMBER(K105),ROUND(J105*(K105+1),2),0)</f>
        <v>1052.8900000000001</v>
      </c>
      <c r="M105" s="12"/>
      <c r="N105" s="2"/>
      <c r="O105" s="2"/>
      <c r="P105" s="2"/>
      <c r="Q105" s="33">
        <f>IF(ISNUMBER(K105),IF(H105&gt;0,IF(I105&gt;0,J105,0),0),0)</f>
        <v>870.15999999999997</v>
      </c>
      <c r="R105" s="27">
        <f>IF(ISNUMBER(K105)=FALSE,J105,0)</f>
        <v>0</v>
      </c>
    </row>
    <row r="106">
      <c r="A106" s="9"/>
      <c r="B106" s="48" t="s">
        <v>44</v>
      </c>
      <c r="C106" s="1"/>
      <c r="D106" s="1"/>
      <c r="E106" s="49" t="s">
        <v>3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 thickBot="1" ht="64.5">
      <c r="A107" s="9"/>
      <c r="B107" s="50" t="s">
        <v>46</v>
      </c>
      <c r="C107" s="51"/>
      <c r="D107" s="51"/>
      <c r="E107" s="52" t="s">
        <v>155</v>
      </c>
      <c r="F107" s="51"/>
      <c r="G107" s="51"/>
      <c r="H107" s="53"/>
      <c r="I107" s="51"/>
      <c r="J107" s="53"/>
      <c r="K107" s="51"/>
      <c r="L107" s="51"/>
      <c r="M107" s="12"/>
      <c r="N107" s="2"/>
      <c r="O107" s="2"/>
      <c r="P107" s="2"/>
      <c r="Q107" s="2"/>
    </row>
    <row r="108" thickTop="1" ht="13.5">
      <c r="A108" s="9"/>
      <c r="B108" s="41">
        <v>10020</v>
      </c>
      <c r="C108" s="42" t="s">
        <v>158</v>
      </c>
      <c r="D108" s="42"/>
      <c r="E108" s="42" t="s">
        <v>159</v>
      </c>
      <c r="F108" s="42" t="s">
        <v>3</v>
      </c>
      <c r="G108" s="43" t="s">
        <v>98</v>
      </c>
      <c r="H108" s="54">
        <v>2409.5999999999999</v>
      </c>
      <c r="I108" s="55">
        <f>ROUND(2.47,2)</f>
        <v>2.4700000000000002</v>
      </c>
      <c r="J108" s="56">
        <f>ROUND(I108*H108,2)</f>
        <v>5951.71</v>
      </c>
      <c r="K108" s="57">
        <v>0.20999999999999999</v>
      </c>
      <c r="L108" s="58">
        <f>IF(ISNUMBER(K108),ROUND(J108*(K108+1),2),0)</f>
        <v>7201.5699999999997</v>
      </c>
      <c r="M108" s="12"/>
      <c r="N108" s="2"/>
      <c r="O108" s="2"/>
      <c r="P108" s="2"/>
      <c r="Q108" s="33">
        <f>IF(ISNUMBER(K108),IF(H108&gt;0,IF(I108&gt;0,J108,0),0),0)</f>
        <v>5951.71</v>
      </c>
      <c r="R108" s="27">
        <f>IF(ISNUMBER(K108)=FALSE,J108,0)</f>
        <v>0</v>
      </c>
    </row>
    <row r="109">
      <c r="A109" s="9"/>
      <c r="B109" s="48" t="s">
        <v>44</v>
      </c>
      <c r="C109" s="1"/>
      <c r="D109" s="1"/>
      <c r="E109" s="49" t="s">
        <v>3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 thickBot="1" ht="13.5">
      <c r="A110" s="9"/>
      <c r="B110" s="50" t="s">
        <v>46</v>
      </c>
      <c r="C110" s="51"/>
      <c r="D110" s="51"/>
      <c r="E110" s="52" t="s">
        <v>160</v>
      </c>
      <c r="F110" s="51"/>
      <c r="G110" s="51"/>
      <c r="H110" s="53"/>
      <c r="I110" s="51"/>
      <c r="J110" s="53"/>
      <c r="K110" s="51"/>
      <c r="L110" s="51"/>
      <c r="M110" s="12"/>
      <c r="N110" s="2"/>
      <c r="O110" s="2"/>
      <c r="P110" s="2"/>
      <c r="Q110" s="2"/>
    </row>
    <row r="111" thickTop="1" ht="13.5">
      <c r="A111" s="9"/>
      <c r="B111" s="41">
        <v>10021</v>
      </c>
      <c r="C111" s="42" t="s">
        <v>161</v>
      </c>
      <c r="D111" s="42" t="s">
        <v>3</v>
      </c>
      <c r="E111" s="42" t="s">
        <v>162</v>
      </c>
      <c r="F111" s="42" t="s">
        <v>3</v>
      </c>
      <c r="G111" s="43" t="s">
        <v>147</v>
      </c>
      <c r="H111" s="54">
        <v>0</v>
      </c>
      <c r="I111" s="55">
        <f>ROUND(3550.35,2)</f>
        <v>3550.3499999999999</v>
      </c>
      <c r="J111" s="56">
        <f>ROUND(I111*H111,2)</f>
        <v>0</v>
      </c>
      <c r="K111" s="57">
        <v>0.20999999999999999</v>
      </c>
      <c r="L111" s="58">
        <f>IF(ISNUMBER(K111),ROUND(J111*(K111+1),2),0)</f>
        <v>0</v>
      </c>
      <c r="M111" s="12"/>
      <c r="N111" s="2"/>
      <c r="O111" s="2"/>
      <c r="P111" s="2"/>
      <c r="Q111" s="33">
        <f>IF(ISNUMBER(K111),IF(H111&gt;0,IF(I111&gt;0,J111,0),0),0)</f>
        <v>0</v>
      </c>
      <c r="R111" s="27">
        <f>IF(ISNUMBER(K111)=FALSE,J111,0)</f>
        <v>0</v>
      </c>
    </row>
    <row r="112">
      <c r="A112" s="9"/>
      <c r="B112" s="48" t="s">
        <v>44</v>
      </c>
      <c r="C112" s="1"/>
      <c r="D112" s="1"/>
      <c r="E112" s="49" t="s">
        <v>3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 thickBot="1" ht="13.5">
      <c r="A113" s="9"/>
      <c r="B113" s="50" t="s">
        <v>46</v>
      </c>
      <c r="C113" s="51"/>
      <c r="D113" s="51"/>
      <c r="E113" s="52" t="s">
        <v>3</v>
      </c>
      <c r="F113" s="51"/>
      <c r="G113" s="51"/>
      <c r="H113" s="53"/>
      <c r="I113" s="51"/>
      <c r="J113" s="53"/>
      <c r="K113" s="51"/>
      <c r="L113" s="51"/>
      <c r="M113" s="12"/>
      <c r="N113" s="2"/>
      <c r="O113" s="2"/>
      <c r="P113" s="2"/>
      <c r="Q113" s="2"/>
    </row>
    <row r="114" thickTop="1" ht="13.5">
      <c r="A114" s="9"/>
      <c r="B114" s="41">
        <v>10022</v>
      </c>
      <c r="C114" s="42" t="s">
        <v>163</v>
      </c>
      <c r="D114" s="42" t="s">
        <v>3</v>
      </c>
      <c r="E114" s="42" t="s">
        <v>164</v>
      </c>
      <c r="F114" s="42" t="s">
        <v>3</v>
      </c>
      <c r="G114" s="43" t="s">
        <v>147</v>
      </c>
      <c r="H114" s="54">
        <v>0</v>
      </c>
      <c r="I114" s="55">
        <f>ROUND(217.54,2)</f>
        <v>217.53999999999999</v>
      </c>
      <c r="J114" s="56">
        <f>ROUND(I114*H114,2)</f>
        <v>0</v>
      </c>
      <c r="K114" s="57">
        <v>0.20999999999999999</v>
      </c>
      <c r="L114" s="58">
        <f>IF(ISNUMBER(K114),ROUND(J114*(K114+1),2),0)</f>
        <v>0</v>
      </c>
      <c r="M114" s="12"/>
      <c r="N114" s="2"/>
      <c r="O114" s="2"/>
      <c r="P114" s="2"/>
      <c r="Q114" s="33">
        <f>IF(ISNUMBER(K114),IF(H114&gt;0,IF(I114&gt;0,J114,0),0),0)</f>
        <v>0</v>
      </c>
      <c r="R114" s="27">
        <f>IF(ISNUMBER(K114)=FALSE,J114,0)</f>
        <v>0</v>
      </c>
    </row>
    <row r="115">
      <c r="A115" s="9"/>
      <c r="B115" s="48" t="s">
        <v>44</v>
      </c>
      <c r="C115" s="1"/>
      <c r="D115" s="1"/>
      <c r="E115" s="49" t="s">
        <v>3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 thickBot="1" ht="13.5">
      <c r="A116" s="9"/>
      <c r="B116" s="50" t="s">
        <v>46</v>
      </c>
      <c r="C116" s="51"/>
      <c r="D116" s="51"/>
      <c r="E116" s="52" t="s">
        <v>3</v>
      </c>
      <c r="F116" s="51"/>
      <c r="G116" s="51"/>
      <c r="H116" s="53"/>
      <c r="I116" s="51"/>
      <c r="J116" s="53"/>
      <c r="K116" s="51"/>
      <c r="L116" s="51"/>
      <c r="M116" s="12"/>
      <c r="N116" s="2"/>
      <c r="O116" s="2"/>
      <c r="P116" s="2"/>
      <c r="Q116" s="2"/>
    </row>
    <row r="117" thickTop="1" thickBot="1" ht="25" customHeight="1">
      <c r="A117" s="9"/>
      <c r="B117" s="1"/>
      <c r="C117" s="59">
        <v>9</v>
      </c>
      <c r="D117" s="1"/>
      <c r="E117" s="60" t="s">
        <v>67</v>
      </c>
      <c r="F117" s="1"/>
      <c r="G117" s="61" t="s">
        <v>57</v>
      </c>
      <c r="H117" s="62">
        <f>J99+J102+J105+J108+J111+J114</f>
        <v>21367.16</v>
      </c>
      <c r="I117" s="61" t="s">
        <v>58</v>
      </c>
      <c r="J117" s="63">
        <f>(L117-H117)</f>
        <v>4487.1000000000022</v>
      </c>
      <c r="K117" s="61" t="s">
        <v>59</v>
      </c>
      <c r="L117" s="64">
        <f>L99+L102+L105+L108+L111+L114</f>
        <v>25854.260000000002</v>
      </c>
      <c r="M117" s="12"/>
      <c r="N117" s="2"/>
      <c r="O117" s="2"/>
      <c r="P117" s="2"/>
      <c r="Q117" s="33">
        <f>0+Q99+Q102+Q105+Q108+Q111+Q114</f>
        <v>21367.16</v>
      </c>
      <c r="R117" s="27">
        <f>0+R99+R102+R105+R108+R111+R114</f>
        <v>0</v>
      </c>
      <c r="S117" s="65">
        <f>Q117*(1+J117)+R117</f>
        <v>95897950.796000049</v>
      </c>
    </row>
    <row r="118" thickTop="1" thickBot="1" ht="25" customHeight="1">
      <c r="A118" s="9"/>
      <c r="B118" s="66"/>
      <c r="C118" s="66"/>
      <c r="D118" s="66"/>
      <c r="E118" s="67"/>
      <c r="F118" s="66"/>
      <c r="G118" s="68" t="s">
        <v>60</v>
      </c>
      <c r="H118" s="69">
        <f>J99+J102+J105+J108+J111+J114</f>
        <v>21367.16</v>
      </c>
      <c r="I118" s="68" t="s">
        <v>61</v>
      </c>
      <c r="J118" s="70">
        <f>0+J117</f>
        <v>4487.1000000000022</v>
      </c>
      <c r="K118" s="68" t="s">
        <v>62</v>
      </c>
      <c r="L118" s="71">
        <f>L99+L102+L105+L108+L111+L114</f>
        <v>25854.260000000002</v>
      </c>
      <c r="M118" s="12"/>
      <c r="N118" s="2"/>
      <c r="O118" s="2"/>
      <c r="P118" s="2"/>
      <c r="Q118" s="2"/>
    </row>
    <row r="119">
      <c r="A119" s="13"/>
      <c r="B119" s="4"/>
      <c r="C119" s="4"/>
      <c r="D119" s="4"/>
      <c r="E119" s="4"/>
      <c r="F119" s="4"/>
      <c r="G119" s="4"/>
      <c r="H119" s="72"/>
      <c r="I119" s="4"/>
      <c r="J119" s="72"/>
      <c r="K119" s="4"/>
      <c r="L119" s="4"/>
      <c r="M119" s="14"/>
      <c r="N119" s="2"/>
      <c r="O119" s="2"/>
      <c r="P119" s="2"/>
      <c r="Q119" s="2"/>
    </row>
    <row r="120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2"/>
      <c r="O120" s="2"/>
      <c r="P120" s="2"/>
      <c r="Q120" s="2"/>
    </row>
  </sheetData>
  <mergeCells count="73">
    <mergeCell ref="B40:D40"/>
    <mergeCell ref="B41:D41"/>
    <mergeCell ref="B43:D43"/>
    <mergeCell ref="B44:D44"/>
    <mergeCell ref="B46:D46"/>
    <mergeCell ref="B47:D47"/>
    <mergeCell ref="B49:D49"/>
    <mergeCell ref="B50:D50"/>
    <mergeCell ref="B52:D52"/>
    <mergeCell ref="B53:D53"/>
    <mergeCell ref="B55:D55"/>
    <mergeCell ref="B56:D56"/>
    <mergeCell ref="B58:D58"/>
    <mergeCell ref="B59:D59"/>
    <mergeCell ref="B64:D64"/>
    <mergeCell ref="B65:D65"/>
    <mergeCell ref="B67:D67"/>
    <mergeCell ref="B68:D68"/>
    <mergeCell ref="B70:D70"/>
    <mergeCell ref="B71:D71"/>
    <mergeCell ref="B73:D73"/>
    <mergeCell ref="B74:D74"/>
    <mergeCell ref="B76:D76"/>
    <mergeCell ref="B77:D77"/>
    <mergeCell ref="B79:D79"/>
    <mergeCell ref="B80:D80"/>
    <mergeCell ref="B82:D82"/>
    <mergeCell ref="B83:D83"/>
    <mergeCell ref="B85:D85"/>
    <mergeCell ref="B86:D86"/>
    <mergeCell ref="B88:D88"/>
    <mergeCell ref="B89:D89"/>
    <mergeCell ref="B62:L62"/>
    <mergeCell ref="B94:D94"/>
    <mergeCell ref="B95:D95"/>
    <mergeCell ref="B92:L92"/>
    <mergeCell ref="B100:D100"/>
    <mergeCell ref="B101:D101"/>
    <mergeCell ref="B103:D103"/>
    <mergeCell ref="B104:D104"/>
    <mergeCell ref="B106:D106"/>
    <mergeCell ref="B107:D107"/>
    <mergeCell ref="B109:D109"/>
    <mergeCell ref="B110:D110"/>
    <mergeCell ref="B112:D112"/>
    <mergeCell ref="B113:D113"/>
    <mergeCell ref="B115:D115"/>
    <mergeCell ref="B116:D116"/>
    <mergeCell ref="B98:L98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6:C27"/>
    <mergeCell ref="B29:L29"/>
    <mergeCell ref="B31:D31"/>
    <mergeCell ref="B32:D32"/>
    <mergeCell ref="B35:L35"/>
    <mergeCell ref="B37:D37"/>
    <mergeCell ref="B38:D38"/>
    <mergeCell ref="B22:D22"/>
    <mergeCell ref="B23:D23"/>
    <mergeCell ref="B24:D24"/>
  </mergeCells>
  <pageMargins left="0.39375" right="0.39375" top="0.5902778" bottom="0.39375" header="0.1965278" footer="0.1576389"/>
  <pageSetup paperSize="9" orientation="portrait" fitToHeight="0"/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HP-SYNEK\Synek</cp:lastModifiedBy>
  <dcterms:modified xsi:type="dcterms:W3CDTF">2024-07-11T16:34:04Z</dcterms:modified>
</cp:coreProperties>
</file>